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worksheets/sheet4.xml" ContentType="application/vnd.openxmlformats-officedocument.spreadsheetml.worksheet+xml"/>
  <Override PartName="/xl/comments3.xml" ContentType="application/vnd.openxmlformats-officedocument.spreadsheetml.comments+xml"/>
  <Override PartName="/xl/threadedcomments/threadedcomment3.xml" ContentType="application/vnd.ms-excel.threadedcomments+xml"/>
  <Override PartName="/xl/worksheets/sheet5.xml" ContentType="application/vnd.openxmlformats-officedocument.spreadsheetml.worksheet+xml"/>
  <Override PartName="/xl/worksheets/sheet6.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758bd9b7f94942e4" /></Relationships>
</file>

<file path=xl/workbook.xml><?xml version="1.0" encoding="utf-8"?>
<x:workbook xmlns:x="http://schemas.openxmlformats.org/spreadsheetml/2006/main">
  <x:sheets>
    <x:sheet xmlns:r="http://schemas.openxmlformats.org/officeDocument/2006/relationships" name="Overview" sheetId="1" r:id="R1fe10a9cd46144e7"/>
    <x:sheet xmlns:r="http://schemas.openxmlformats.org/officeDocument/2006/relationships" name="Inputs" sheetId="2" r:id="R2f678c9a936245bb"/>
    <x:sheet xmlns:r="http://schemas.openxmlformats.org/officeDocument/2006/relationships" name="National" sheetId="3" r:id="R40c3c5c33b4a4bdc"/>
    <x:sheet xmlns:r="http://schemas.openxmlformats.org/officeDocument/2006/relationships" name="Village" sheetId="4" r:id="Rf206882aeb3143cd"/>
    <x:sheet xmlns:r="http://schemas.openxmlformats.org/officeDocument/2006/relationships" name="Staffing" sheetId="5" r:id="R529af7ca5bc5427f"/>
    <x:sheet xmlns:r="http://schemas.openxmlformats.org/officeDocument/2006/relationships" name="ProgramCosts" sheetId="6" r:id="R2051d9b714c94991"/>
  </x:sheets>
</x:workbook>
</file>

<file path=xl/comments1.xml><?xml version="1.0" encoding="utf-8"?>
<x:comments xmlns:x="http://schemas.openxmlformats.org/spreadsheetml/2006/main">
  <x:authors>
    <x:author>tc={C69CE0EC-0916-0C2C-0B35-FC5A686C87FE}</x:author>
    <x:author>tc={DE0AE206-0C64-65B9-0D81-5A19CBA1017E}</x:author>
    <x:author>tc={3D73469C-D11F-CC38-1A20-DC256B0417C9}</x:author>
    <x:author>tc={81C2DBED-C4AD-F301-9A88-7C2C5228A3A2}</x:author>
    <x:author>tc={6A7695E0-2316-6361-B0ED-D8577E572A04}</x:author>
    <x:author>tc={C1F90C72-899D-952D-907E-982022DCB438}</x:author>
    <x:author>tc={A50C1502-FD87-7415-0FD5-B00624797EFA}</x:author>
    <x:author>tc={8BAE2826-EAA3-87E8-6940-60E81B59DD23}</x:author>
    <x:author>tc={56D5BC26-8512-B8A1-308F-9D8180F90D8E}</x:author>
    <x:author>tc={8549FE46-E0DA-C6F8-714B-FBEE2D470451}</x:author>
    <x:author>tc={ED5D4F70-7FC6-EA6B-5D0A-CB84F30E6E99}</x:author>
    <x:author>tc={30CEC2D7-FC2E-0D65-169D-C3E605802CE9}</x:author>
    <x:author>tc={C0805C85-BAD3-A8BC-E4AF-981B218392B2}</x:author>
    <x:author>tc={B41345A3-346C-26C4-4B6E-870D9B5C454D}</x:author>
    <x:author>tc={AEFE1D76-5CF5-278C-EBFA-AAE819ADCDC4}</x:author>
    <x:author>tc={8F6DFEA9-2859-BCF9-0D3F-E13762C490D9}</x:author>
    <x:author>tc={113FED04-9235-21A3-F668-BD6B714494A3}</x:author>
    <x:author>tc={2EBD6016-F7AE-F980-5F60-35CABDBEF411}</x:author>
    <x:author>tc={B8D0EE03-5258-4B22-CA83-E3E1E74C52E8}</x:author>
    <x:author>tc={70A3EE7B-C238-1E8C-3E90-D4522AD66153}</x:author>
  </x:authors>
  <x:commentList>
    <x:comment ref="B2" authorId="0">
      <x:text>
        <x:r>
          <x:t>[Threaded comment]
Your version of Excel allows you to read this threaded comment; however, any edits to it will get removed if the file is opened in a newer version of Excel. Learn more: https://go.microsoft.com/fwlink/?linkid=870924
Comment:
    HUD release, May 29 2026: https://www.hud.gov/news/hud-no-26-037</x:t>
        </x:r>
      </x:text>
    </x:comment>
    <x:comment ref="B3" authorId="1">
      <x:text>
        <x:r>
          <x:t>[Threaded comment]
Your version of Excel allows you to read this threaded comment; however, any edits to it will get removed if the file is opened in a newer version of Excel. Learn more: https://go.microsoft.com/fwlink/?linkid=870924
Comment:
    Same HUD release; a one-night count, not annual incidence.</x:t>
        </x:r>
      </x:text>
    </x:comment>
    <x:comment ref="B4" authorId="2">
      <x:text>
        <x:r>
          <x:t>[Threaded comment]
Your version of Excel allows you to read this threaded comment; however, any edits to it will get removed if the file is opened in a newer version of Excel. Learn more: https://go.microsoft.com/fwlink/?linkid=870924
Comment:
    Planning assumption, not a HUD household estimate.</x:t>
        </x:r>
      </x:text>
    </x:comment>
    <x:comment ref="B5" authorId="3">
      <x:text>
        <x:r>
          <x:t>[Threaded comment]
Your version of Excel allows you to read this threaded comment; however, any edits to it will get removed if the file is opened in a newer version of Excel. Learn more: https://go.microsoft.com/fwlink/?linkid=870924
Comment:
    Illustrative allowance; not an estimated annual inflow.</x:t>
        </x:r>
      </x:text>
    </x:comment>
    <x:comment ref="B6" authorId="4">
      <x:text>
        <x:r>
          <x:t>[Threaded comment]
Your version of Excel allows you to read this threaded comment; however, any edits to it will get removed if the file is opened in a newer version of Excel. Learn more: https://go.microsoft.com/fwlink/?linkid=870924
Comment:
    Proposed national delivery benchmark, subject to actual need and cost.</x:t>
        </x:r>
      </x:text>
    </x:comment>
    <x:comment ref="B7" authorId="5">
      <x:text>
        <x:r>
          <x:t>[Threaded comment]
Your version of Excel allows you to read this threaded comment; however, any edits to it will get removed if the file is opened in a newer version of Excel. Learn more: https://go.microsoft.com/fwlink/?linkid=870924
Comment:
    Proposed additional concurrent household assistance.</x:t>
        </x:r>
      </x:text>
    </x:comment>
    <x:comment ref="B8" authorId="6">
      <x:text>
        <x:r>
          <x:t>[Threaded comment]
Your version of Excel allows you to read this threaded comment; however, any edits to it will get removed if the file is opened in a newer version of Excel. Learn more: https://go.microsoft.com/fwlink/?linkid=870924
Comment:
    Proposed new or converted spaces; not permanent housing.</x:t>
        </x:r>
      </x:text>
    </x:comment>
    <x:comment ref="B9" authorId="7">
      <x:text>
        <x:r>
          <x:t>[Threaded comment]
Your version of Excel allows you to read this threaded comment; however, any edits to it will get removed if the file is opened in a newer version of Excel. Learn more: https://go.microsoft.com/fwlink/?linkid=870924
Comment:
    Illustrative planning assumption, not a forecast.</x:t>
        </x:r>
      </x:text>
    </x:comment>
    <x:comment ref="B10" authorId="8">
      <x:text>
        <x:r>
          <x:t>[Threaded comment]
Your version of Excel allows you to read this threaded comment; however, any edits to it will get removed if the file is opened in a newer version of Excel. Learn more: https://go.microsoft.com/fwlink/?linkid=870924
Comment:
    Illustrative debt sensitivity; not a Treasury forecast.</x:t>
        </x:r>
      </x:text>
    </x:comment>
    <x:comment ref="B11" authorId="9">
      <x:text>
        <x:r>
          <x:t>[Threaded comment]
Your version of Excel allows you to read this threaded comment; however, any edits to it will get removed if the file is opened in a newer version of Excel. Learn more: https://go.microsoft.com/fwlink/?linkid=870924
Comment:
    Assumes leave, training, and absence cover.</x:t>
        </x:r>
      </x:text>
    </x:comment>
    <x:comment ref="B12" authorId="10">
      <x:text>
        <x:r>
          <x:t>[Threaded comment]
Your version of Excel allows you to read this threaded comment; however, any edits to it will get removed if the file is opened in a newer version of Excel. Learn more: https://go.microsoft.com/fwlink/?linkid=870924
Comment:
    365 days x 24 hours; budget extra leap-day coverage when applicable.</x:t>
        </x:r>
      </x:text>
    </x:comment>
    <x:comment ref="B13" authorId="11">
      <x:text>
        <x:r>
          <x:t>[Threaded comment]
Your version of Excel allows you to read this threaded comment; however, any edits to it will get removed if the file is opened in a newer version of Excel. Learn more: https://go.microsoft.com/fwlink/?linkid=870924
Comment:
    Sensitivity assumption.</x:t>
        </x:r>
      </x:text>
    </x:comment>
    <x:comment ref="B14" authorId="12">
      <x:text>
        <x:r>
          <x:t>[Threaded comment]
Your version of Excel allows you to read this threaded comment; however, any edits to it will get removed if the file is opened in a newer version of Excel. Learn more: https://go.microsoft.com/fwlink/?linkid=870924
Comment:
    Sensitivity assumption.</x:t>
        </x:r>
      </x:text>
    </x:comment>
    <x:comment ref="B15" authorId="13">
      <x:text>
        <x:r>
          <x:t>[Threaded comment]
Your version of Excel allows you to read this threaded comment; however, any edits to it will get removed if the file is opened in a newer version of Excel. Learn more: https://go.microsoft.com/fwlink/?linkid=870924
Comment:
    Sensitivity assumption.</x:t>
        </x:r>
      </x:text>
    </x:comment>
    <x:comment ref="B16" authorId="14">
      <x:text>
        <x:r>
          <x:t>[Threaded comment]
Your version of Excel allows you to read this threaded comment; however, any edits to it will get removed if the file is opened in a newer version of Excel. Learn more: https://go.microsoft.com/fwlink/?linkid=870924
Comment:
    Sensitivity assumption.</x:t>
        </x:r>
      </x:text>
    </x:comment>
    <x:comment ref="B17" authorId="15">
      <x:text>
        <x:r>
          <x:t>[Threaded comment]
Your version of Excel allows you to read this threaded comment; however, any edits to it will get removed if the file is opened in a newer version of Excel. Learn more: https://go.microsoft.com/fwlink/?linkid=870924
Comment:
    Illustrative cash-outlay lag.</x:t>
        </x:r>
      </x:text>
    </x:comment>
    <x:comment ref="B18" authorId="16">
      <x:text>
        <x:r>
          <x:t>[Threaded comment]
Your version of Excel allows you to read this threaded comment; however, any edits to it will get removed if the file is opened in a newer version of Excel. Learn more: https://go.microsoft.com/fwlink/?linkid=870924
Comment:
    Illustrative cash-outlay lag.</x:t>
        </x:r>
      </x:text>
    </x:comment>
    <x:comment ref="B19" authorId="17">
      <x:text>
        <x:r>
          <x:t>[Threaded comment]
Your version of Excel allows you to read this threaded comment; however, any edits to it will get removed if the file is opened in a newer version of Excel. Learn more: https://go.microsoft.com/fwlink/?linkid=870924
Comment:
    Illustrative cash-outlay lag.</x:t>
        </x:r>
      </x:text>
    </x:comment>
    <x:comment ref="B20" authorId="18">
      <x:text>
        <x:r>
          <x:t>[Threaded comment]
Your version of Excel allows you to read this threaded comment; however, any edits to it will get removed if the file is opened in a newer version of Excel. Learn more: https://go.microsoft.com/fwlink/?linkid=870924
Comment:
    Illustrative cash-outlay lag.</x:t>
        </x:r>
      </x:text>
    </x:comment>
    <x:comment ref="B21" authorId="19">
      <x:text>
        <x:r>
          <x:t>[Threaded comment]
Your version of Excel allows you to read this threaded comment; however, any edits to it will get removed if the file is opened in a newer version of Excel. Learn more: https://go.microsoft.com/fwlink/?linkid=870924
Comment:
    Illustrative cash-outlay lag.</x:t>
        </x:r>
      </x:text>
    </x:comment>
  </x:commentList>
</x:comments>
</file>

<file path=xl/comments2.xml><?xml version="1.0" encoding="utf-8"?>
<x:comments xmlns:x="http://schemas.openxmlformats.org/spreadsheetml/2006/main">
  <x:authors>
    <x:author>tc={1709325B-FDA9-00EE-6F01-7448B9652789}</x:author>
  </x:authors>
  <x:commentList>
    <x:comment ref="B2" authorId="0">
      <x:text>
        <x:r>
          <x:t>[Threaded comment]
Your version of Excel allows you to read this threaded comment; however, any edits to it will get removed if the file is opened in a newer version of Excel. Learn more: https://go.microsoft.com/fwlink/?linkid=870924
Comment:
    All program-year appropriation schedules are proposed policy assumptions in constant 2026 dollars, not an official CBO estimate. Capital and operating costs are separate; outlays and illustrative debt interest are modeled on this sheet.</x:t>
        </x:r>
      </x:text>
    </x:comment>
  </x:commentList>
</x:comments>
</file>

<file path=xl/comments3.xml><?xml version="1.0" encoding="utf-8"?>
<x:comments xmlns:x="http://schemas.openxmlformats.org/spreadsheetml/2006/main">
  <x:authors>
    <x:author>tc={21A7D4D2-DA20-21FE-95ED-2A2C503DD3E5}</x:author>
    <x:author>tc={9DD51701-4EDC-5386-BE1D-F0BB7BEE1748}</x:author>
    <x:author>tc={07D4346C-D191-5D65-A4BA-8E6C3B9F1EB2}</x:author>
    <x:author>tc={B3D4DA66-B09E-4427-1982-0822573E198B}</x:author>
    <x:author>tc={01EC0134-9A04-84BF-2D3C-DA3A6A09913A}</x:author>
    <x:author>tc={1EE11D25-87AD-7D1F-6FBB-815E4BC0CA04}</x:author>
    <x:author>tc={51FBEF55-C86C-F0B4-DD3B-E61A778C3453}</x:author>
    <x:author>tc={F99BF1EF-6BF3-ABB9-BBE1-841D3C28A452}</x:author>
    <x:author>tc={71DF9B15-386A-7998-6776-1E89532BEAC7}</x:author>
    <x:author>tc={97C7BDE0-85C6-2B79-D82B-984AB0D98CD2}</x:author>
    <x:author>tc={A6CDBB6A-EC4A-A7B1-23CB-94919CA2C9DF}</x:author>
    <x:author>tc={241C2223-7013-4E8F-C8C9-55B961A03D93}</x:author>
    <x:author>tc={4544DE87-6710-A5E9-5E3D-C06D89B623EE}</x:author>
    <x:author>tc={E818EA54-0EEA-8E1F-8A10-DB4B0DFE7E09}</x:author>
    <x:author>tc={430FEB46-A867-F394-4E4D-8B5AE7834975}</x:author>
  </x:authors>
  <x:commentList>
    <x:comment ref="B2" authorId="0">
      <x:text>
        <x:r>
          <x:t>[Threaded comment]
Your version of Excel allows you to read this threaded comment; however, any edits to it will get removed if the file is opened in a newer version of Excel. Learn more: https://go.microsoft.com/fwlink/?linkid=870924
Comment:
    Illustrative household mix below.</x:t>
        </x:r>
      </x:text>
    </x:comment>
    <x:comment ref="B3" authorId="1">
      <x:text>
        <x:r>
          <x:t>[Threaded comment]
Your version of Excel allows you to read this threaded comment; however, any edits to it will get removed if the file is opened in a newer version of Excel. Learn more: https://go.microsoft.com/fwlink/?linkid=870924
Comment:
    Planning assumption; not a legal minimum.</x:t>
        </x:r>
      </x:text>
    </x:comment>
    <x:comment ref="B4" authorId="2">
      <x:text>
        <x:r>
          <x:t>[Threaded comment]
Your version of Excel allows you to read this threaded comment; however, any edits to it will get removed if the file is opened in a newer version of Excel. Learn more: https://go.microsoft.com/fwlink/?linkid=870924
Comment:
    Includes circulation and common facilities.</x:t>
        </x:r>
      </x:text>
    </x:comment>
    <x:comment ref="B5" authorId="3">
      <x:text>
        <x:r>
          <x:t>[Threaded comment]
Your version of Excel allows you to read this threaded comment; however, any edits to it will get removed if the file is opened in a newer version of Excel. Learn more: https://go.microsoft.com/fwlink/?linkid=870924
Comment:
    Scenario assumption; replace with a local appraisal.</x:t>
        </x:r>
      </x:text>
    </x:comment>
    <x:comment ref="B6" authorId="4">
      <x:text>
        <x:r>
          <x:t>[Threaded comment]
Your version of Excel allows you to read this threaded comment; however, any edits to it will get removed if the file is opened in a newer version of Excel. Learn more: https://go.microsoft.com/fwlink/?linkid=870924
Comment:
    170 single homes; 10 couple homes; 5 adult-pair homes; 10 three-person family homes; 5 four-person family homes.</x:t>
        </x:r>
      </x:text>
    </x:comment>
    <x:comment ref="B7" authorId="5">
      <x:text>
        <x:r>
          <x:t>[Threaded comment]
Your version of Excel allows you to read this threaded comment; however, any edits to it will get removed if the file is opened in a newer version of Excel. Learn more: https://go.microsoft.com/fwlink/?linkid=870924
Comment:
    Planning allowance; not a manufacturer quote.</x:t>
        </x:r>
      </x:text>
    </x:comment>
    <x:comment ref="B8" authorId="6">
      <x:text>
        <x:r>
          <x:t>[Threaded comment]
Your version of Excel allows you to read this threaded comment; however, any edits to it will get removed if the file is opened in a newer version of Excel. Learn more: https://go.microsoft.com/fwlink/?linkid=870924
Comment:
    Program planning assumption.</x:t>
        </x:r>
      </x:text>
    </x:comment>
    <x:comment ref="B9" authorId="7">
      <x:text>
        <x:r>
          <x:t>[Threaded comment]
Your version of Excel allows you to read this threaded comment; however, any edits to it will get removed if the file is opened in a newer version of Excel. Learn more: https://go.microsoft.com/fwlink/?linkid=870924
Comment:
    Program planning assumption.</x:t>
        </x:r>
      </x:text>
    </x:comment>
    <x:comment ref="B10" authorId="8">
      <x:text>
        <x:r>
          <x:t>[Threaded comment]
Your version of Excel allows you to read this threaded comment; however, any edits to it will get removed if the file is opened in a newer version of Excel. Learn more: https://go.microsoft.com/fwlink/?linkid=870924
Comment:
    200 households, 250 people.</x:t>
        </x:r>
      </x:text>
    </x:comment>
    <x:comment ref="B11" authorId="9">
      <x:text>
        <x:r>
          <x:t>[Threaded comment]
Your version of Excel allows you to read this threaded comment; however, any edits to it will get removed if the file is opened in a newer version of Excel. Learn more: https://go.microsoft.com/fwlink/?linkid=870924
Comment:
    Applied to pre-contingency non-land costs.</x:t>
        </x:r>
      </x:text>
    </x:comment>
    <x:comment ref="B12" authorId="10">
      <x:text>
        <x:r>
          <x:t>[Threaded comment]
Your version of Excel allows you to read this threaded comment; however, any edits to it will get removed if the file is opened in a newer version of Excel. Learn more: https://go.microsoft.com/fwlink/?linkid=870924
Comment:
    Opening reserve balance, not a second operating expense.</x:t>
        </x:r>
      </x:text>
    </x:comment>
    <x:comment ref="B13" authorId="11">
      <x:text>
        <x:r>
          <x:t>[Threaded comment]
Your version of Excel allows you to read this threaded comment; however, any edits to it will get removed if the file is opened in a newer version of Excel. Learn more: https://go.microsoft.com/fwlink/?linkid=870924
Comment:
    Two through 150 residents, plus one per started block of 75 additional residents.</x:t>
        </x:r>
      </x:text>
    </x:comment>
    <x:comment ref="B14" authorId="12">
      <x:text>
        <x:r>
          <x:t>[Threaded comment]
Your version of Excel allows you to read this threaded comment; however, any edits to it will get removed if the file is opened in a newer version of Excel. Learn more: https://go.microsoft.com/fwlink/?linkid=870924
Comment:
    Illustrative service mix, not a population finding.</x:t>
        </x:r>
      </x:text>
    </x:comment>
    <x:comment ref="B15" authorId="13">
      <x:text>
        <x:r>
          <x:t>[Threaded comment]
Your version of Excel allows you to read this threaded comment; however, any edits to it will get removed if the file is opened in a newer version of Excel. Learn more: https://go.microsoft.com/fwlink/?linkid=870924
Comment:
    Illustrative receipt, not an imposed minimum rent.</x:t>
        </x:r>
      </x:text>
    </x:comment>
    <x:comment ref="B16" authorId="14">
      <x:text>
        <x:r>
          <x:t>[Threaded comment]
Your version of Excel allows you to read this threaded comment; however, any edits to it will get removed if the file is opened in a newer version of Excel. Learn more: https://go.microsoft.com/fwlink/?linkid=870924
Comment:
    Planning assumption.</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0.00;(#,##0.00);–"/>
    <x:numFmt numFmtId="201" formatCode="#,##0.0;(#,##0.0);–"/>
    <x:numFmt numFmtId="202" formatCode="0.000"/>
    <x:numFmt numFmtId="203" formatCode="#,##0.00"/>
    <x:numFmt numFmtId="204" formatCode="0.0%"/>
    <x:numFmt numFmtId="205" formatCode="0%"/>
    <x:numFmt numFmtId="206" formatCode="#,##0"/>
    <x:numFmt numFmtId="207" formatCode="$#,##0"/>
    <x:numFmt numFmtId="208" formatCode="#,##0.0"/>
  </x:numFmts>
  <x:fonts count="4">
    <x:font>
      <x:sz val="11"/>
      <x:name val="Carlito"/>
    </x:font>
    <x:font>
      <x:b/>
      <x:sz val="11"/>
      <x:color rgb="FFFFFFFF"/>
      <x:name val="Carlito"/>
    </x:font>
    <x:font>
      <x:sz val="11"/>
      <x:color rgb="FF2154B5"/>
      <x:name val="Carlito"/>
    </x:font>
    <x:font>
      <x:b/>
      <x:sz val="18"/>
      <x:color rgb="FFFFFFFF"/>
      <x:name val="Carlito"/>
    </x:font>
  </x:fonts>
  <x:fills count="3">
    <x:fill>
      <x:patternFill patternType="none"/>
    </x:fill>
    <x:fill>
      <x:patternFill patternType="gray125"/>
    </x:fill>
    <x:fill>
      <x:patternFill patternType="solid">
        <x:fgColor rgb="FF173548"/>
      </x:patternFill>
    </x:fill>
  </x:fills>
  <x:borders count="2">
    <x:border/>
    <x:border/>
  </x:borders>
  <x:cellStyleXfs count="1">
    <x:xf numFmtId="0" fontId="0" fillId="0" borderId="0"/>
  </x:cellStyleXfs>
  <x:cellXfs count="73">
    <x:xf numFmtId="0" fontId="0" fillId="0" borderId="0" xfId="0"/>
    <x:xf numFmtId="0" fontId="0" fillId="0" borderId="1" xfId="0" applyNumberFormat="1" applyFont="1" applyFill="1" applyBorder="1"/>
    <x:xf numFmtId="0" fontId="0" fillId="0" borderId="0" xfId="0" applyNumberFormat="1" applyFont="1" applyFill="1" applyBorder="1"/>
    <x:xf numFmtId="0" fontId="0" fillId="0" borderId="0" xfId="0" applyNumberFormat="1" applyFont="1" applyFill="1" applyBorder="1" applyAlignment="1">
      <x:alignment vertical="center"/>
    </x:xf>
    <x:xf numFmtId="0" fontId="0" fillId="0" borderId="1" xfId="0" applyNumberFormat="1" applyFont="1" applyFill="1" applyBorder="1" applyAlignment="1">
      <x:alignment vertical="center"/>
    </x:xf>
    <x:xf numFmtId="0" fontId="0" fillId="2"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0" fillId="2" borderId="1" xfId="0" applyNumberFormat="1" applyFont="1" applyFill="1" applyBorder="1" applyAlignment="1">
      <x:alignment vertical="center"/>
    </x:xf>
    <x:xf numFmtId="0" fontId="1" fillId="2" borderId="1" xfId="0" applyNumberFormat="1" applyFont="1" applyFill="1" applyBorder="1" applyAlignment="1">
      <x:alignment vertical="center"/>
    </x:xf>
    <x:xf numFmtId="0" fontId="1" fillId="2" borderId="1" xfId="0" applyNumberFormat="1" applyFont="1" applyFill="1" applyBorder="1" applyAlignment="1">
      <x:alignment vertical="center" wrapText="1"/>
    </x:xf>
    <x:xf numFmtId="0" fontId="0" fillId="0" borderId="0" xfId="0" applyNumberFormat="1" applyFont="1" applyFill="1" applyBorder="1" applyAlignment="1">
      <x:alignment vertical="center" wrapText="1"/>
    </x:xf>
    <x:xf numFmtId="0" fontId="0" fillId="0" borderId="1" xfId="0" applyNumberFormat="1" applyFont="1" applyFill="1" applyBorder="1" applyAlignment="1">
      <x:alignment vertical="center" wrapText="1"/>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200" fontId="2" fillId="0" borderId="0" xfId="0" applyNumberFormat="1" applyFont="1" applyFill="1" applyBorder="1" applyAlignment="1">
      <x:alignment vertical="center"/>
    </x:xf>
    <x:xf numFmtId="200" fontId="0" fillId="0" borderId="0" xfId="0" applyNumberFormat="1" applyFont="1" applyFill="1" applyBorder="1" applyAlignment="1">
      <x:alignment vertical="center"/>
    </x:xf>
    <x:xf numFmtId="200" fontId="0" fillId="0" borderId="0" xfId="0" applyNumberFormat="1" applyFont="1" applyFill="1" applyBorder="1"/>
    <x:xf numFmtId="200" fontId="2" fillId="0" borderId="1" xfId="0" applyNumberFormat="1" applyFont="1" applyFill="1" applyBorder="1" applyAlignment="1">
      <x:alignment vertical="center"/>
    </x:xf>
    <x:xf numFmtId="200" fontId="0" fillId="0" borderId="1" xfId="0" applyNumberFormat="1" applyFont="1" applyFill="1" applyBorder="1" applyAlignment="1">
      <x:alignment vertical="center"/>
    </x:xf>
    <x:xf numFmtId="200" fontId="0" fillId="0" borderId="1" xfId="0" applyNumberFormat="1" applyFont="1" applyFill="1" applyBorder="1"/>
    <x:xf numFmtId="200" fontId="0" fillId="0" borderId="0" xfId="0" applyNumberFormat="1" applyFont="1" applyFill="1" applyBorder="1" applyAlignment="1">
      <x:alignment vertical="center" wrapText="1"/>
    </x:xf>
    <x:xf numFmtId="200" fontId="0" fillId="0" borderId="1" xfId="0" applyNumberFormat="1" applyFont="1" applyFill="1" applyBorder="1" applyAlignment="1">
      <x:alignment vertical="center" wrapText="1"/>
    </x:xf>
    <x:xf numFmtId="201" fontId="2" fillId="0" borderId="0" xfId="0" applyNumberFormat="1" applyFont="1" applyFill="1" applyBorder="1" applyAlignment="1">
      <x:alignment vertical="center"/>
    </x:xf>
    <x:xf numFmtId="201" fontId="0" fillId="0" borderId="0" xfId="0" applyNumberFormat="1" applyFont="1" applyFill="1" applyBorder="1" applyAlignment="1">
      <x:alignment vertical="center"/>
    </x:xf>
    <x:xf numFmtId="201" fontId="2" fillId="0" borderId="1" xfId="0" applyNumberFormat="1" applyFont="1" applyFill="1" applyBorder="1" applyAlignment="1">
      <x:alignment vertical="center"/>
    </x:xf>
    <x:xf numFmtId="201" fontId="0" fillId="0" borderId="1" xfId="0" applyNumberFormat="1" applyFont="1" applyFill="1" applyBorder="1" applyAlignment="1">
      <x:alignment vertical="center"/>
    </x:xf>
    <x:xf numFmtId="202" fontId="0" fillId="0" borderId="0" xfId="0" applyNumberFormat="1" applyFont="1" applyFill="1" applyBorder="1" applyAlignment="1">
      <x:alignment vertical="center"/>
    </x:xf>
    <x:xf numFmtId="202" fontId="0" fillId="0" borderId="1" xfId="0" applyNumberFormat="1" applyFont="1" applyFill="1" applyBorder="1" applyAlignment="1">
      <x:alignment vertical="center"/>
    </x:xf>
    <x:xf numFmtId="203" fontId="2" fillId="0" borderId="0" xfId="0" applyNumberFormat="1" applyFont="1" applyFill="1" applyBorder="1" applyAlignment="1">
      <x:alignment vertical="center"/>
    </x:xf>
    <x:xf numFmtId="203" fontId="2" fillId="0" borderId="1" xfId="0" applyNumberFormat="1" applyFont="1" applyFill="1" applyBorder="1" applyAlignment="1">
      <x:alignment vertical="center"/>
    </x:xf>
    <x:xf numFmtId="204" fontId="2" fillId="0" borderId="0" xfId="0" applyNumberFormat="1" applyFont="1" applyFill="1" applyBorder="1" applyAlignment="1">
      <x:alignment vertical="center"/>
    </x:xf>
    <x:xf numFmtId="204" fontId="2" fillId="0" borderId="1" xfId="0" applyNumberFormat="1" applyFont="1" applyFill="1" applyBorder="1" applyAlignment="1">
      <x:alignment vertical="center"/>
    </x:xf>
    <x:xf numFmtId="205" fontId="2" fillId="0" borderId="0" xfId="0" applyNumberFormat="1" applyFont="1" applyFill="1" applyBorder="1" applyAlignment="1">
      <x:alignment vertical="center"/>
    </x:xf>
    <x:xf numFmtId="205" fontId="2" fillId="0" borderId="1" xfId="0" applyNumberFormat="1" applyFont="1" applyFill="1" applyBorder="1" applyAlignment="1">
      <x:alignment vertical="center"/>
    </x:xf>
    <x:xf numFmtId="205" fontId="0" fillId="0" borderId="0" xfId="0" applyNumberFormat="1" applyFont="1" applyFill="1" applyBorder="1" applyAlignment="1">
      <x:alignment vertical="center"/>
    </x:xf>
    <x:xf numFmtId="205" fontId="0" fillId="0" borderId="1" xfId="0" applyNumberFormat="1" applyFont="1" applyFill="1" applyBorder="1" applyAlignment="1">
      <x:alignment vertical="center"/>
    </x:xf>
    <x:xf numFmtId="0" fontId="0" fillId="2" borderId="0" xfId="0" applyNumberFormat="1" applyFont="1" applyFill="1" applyBorder="1" applyAlignment="1">
      <x:alignment vertical="center" wrapText="1"/>
    </x:xf>
    <x:xf numFmtId="200" fontId="2" fillId="2" borderId="0" xfId="0" applyNumberFormat="1" applyFont="1" applyFill="1" applyBorder="1" applyAlignment="1">
      <x:alignment vertical="center"/>
    </x:xf>
    <x:xf numFmtId="200" fontId="0" fillId="2" borderId="0" xfId="0" applyNumberFormat="1" applyFont="1" applyFill="1" applyBorder="1" applyAlignment="1">
      <x:alignment vertical="center"/>
    </x:xf>
    <x:xf numFmtId="200" fontId="1" fillId="2" borderId="0" xfId="0" applyNumberFormat="1" applyFont="1" applyFill="1" applyBorder="1" applyAlignment="1">
      <x:alignment vertical="center"/>
    </x:xf>
    <x:xf numFmtId="200" fontId="1" fillId="2" borderId="0" xfId="0" applyNumberFormat="1" applyFont="1" applyFill="1" applyBorder="1" applyAlignment="1">
      <x:alignment vertical="center" wrapText="1"/>
    </x:xf>
    <x:xf numFmtId="0" fontId="0" fillId="2" borderId="1" xfId="0" applyNumberFormat="1" applyFont="1" applyFill="1" applyBorder="1" applyAlignment="1">
      <x:alignment vertical="center" wrapText="1"/>
    </x:xf>
    <x:xf numFmtId="200" fontId="2" fillId="2" borderId="1" xfId="0" applyNumberFormat="1" applyFont="1" applyFill="1" applyBorder="1" applyAlignment="1">
      <x:alignment vertical="center"/>
    </x:xf>
    <x:xf numFmtId="200" fontId="0" fillId="2" borderId="1" xfId="0" applyNumberFormat="1" applyFont="1" applyFill="1" applyBorder="1" applyAlignment="1">
      <x:alignment vertical="center"/>
    </x:xf>
    <x:xf numFmtId="200" fontId="1" fillId="2" borderId="1" xfId="0" applyNumberFormat="1" applyFont="1" applyFill="1" applyBorder="1" applyAlignment="1">
      <x:alignment vertical="center"/>
    </x:xf>
    <x:xf numFmtId="200" fontId="1" fillId="2" borderId="1" xfId="0" applyNumberFormat="1" applyFont="1" applyFill="1" applyBorder="1" applyAlignment="1">
      <x:alignment vertical="center" wrapText="1"/>
    </x:xf>
    <x:xf numFmtId="200" fontId="0" fillId="2" borderId="0" xfId="0" applyNumberFormat="1" applyFont="1" applyFill="1" applyBorder="1" applyAlignment="1">
      <x:alignment vertical="center" wrapText="1"/>
    </x:xf>
    <x:xf numFmtId="200" fontId="0" fillId="2" borderId="1"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3" fillId="2" borderId="1" xfId="0" applyNumberFormat="1" applyFont="1" applyFill="1" applyBorder="1" applyAlignment="1">
      <x:alignment vertical="center" wrapText="1"/>
    </x:xf>
    <x:xf numFmtId="206" fontId="0" fillId="0" borderId="0" xfId="0" applyNumberFormat="1" applyFont="1" applyFill="1" applyBorder="1" applyAlignment="1">
      <x:alignment vertical="center" wrapText="1"/>
    </x:xf>
    <x:xf numFmtId="206" fontId="0" fillId="0" borderId="1" xfId="0" applyNumberFormat="1" applyFont="1" applyFill="1" applyBorder="1" applyAlignment="1">
      <x:alignment vertical="center" wrapText="1"/>
    </x:xf>
    <x:xf numFmtId="207" fontId="0" fillId="0" borderId="0" xfId="0" applyNumberFormat="1" applyFont="1" applyFill="1" applyBorder="1" applyAlignment="1">
      <x:alignment vertical="center" wrapText="1"/>
    </x:xf>
    <x:xf numFmtId="207" fontId="0" fillId="0" borderId="1" xfId="0" applyNumberFormat="1" applyFont="1" applyFill="1" applyBorder="1" applyAlignment="1">
      <x:alignment vertical="center" wrapText="1"/>
    </x:xf>
    <x:xf numFmtId="208" fontId="0" fillId="0" borderId="0" xfId="0" applyNumberFormat="1" applyFont="1" applyFill="1" applyBorder="1" applyAlignment="1">
      <x:alignment vertical="center" wrapText="1"/>
    </x:xf>
    <x:xf numFmtId="208" fontId="0" fillId="0" borderId="1" xfId="0" applyNumberFormat="1" applyFont="1" applyFill="1" applyBorder="1" applyAlignment="1">
      <x:alignment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1" xfId="0" applyNumberFormat="1" applyFont="1" applyFill="1" applyBorder="1" applyAlignment="1">
      <x:alignment wrapText="1"/>
    </x:xf>
    <x:xf numFmtId="206" fontId="2" fillId="0" borderId="0" xfId="0" applyNumberFormat="1" applyFont="1" applyFill="1" applyBorder="1" applyAlignment="1">
      <x:alignment wrapText="1"/>
    </x:xf>
    <x:xf numFmtId="206" fontId="2" fillId="0" borderId="1" xfId="0" applyNumberFormat="1" applyFont="1" applyFill="1" applyBorder="1" applyAlignment="1">
      <x:alignment wrapText="1"/>
    </x:xf>
    <x:xf numFmtId="208" fontId="0" fillId="0" borderId="0" xfId="0" applyNumberFormat="1" applyFont="1" applyFill="1" applyBorder="1" applyAlignment="1">
      <x:alignment wrapText="1"/>
    </x:xf>
    <x:xf numFmtId="208" fontId="0" fillId="0" borderId="1" xfId="0" applyNumberFormat="1" applyFont="1" applyFill="1" applyBorder="1" applyAlignment="1">
      <x:alignment wrapText="1"/>
    </x:xf>
    <x:xf numFmtId="0" fontId="0"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0" fillId="2" borderId="1" xfId="0" applyNumberFormat="1" applyFont="1" applyFill="1" applyBorder="1" applyAlignment="1">
      <x:alignment wrapText="1"/>
    </x:xf>
    <x:xf numFmtId="0" fontId="1" fillId="2" borderId="1" xfId="0" applyNumberFormat="1" applyFont="1" applyFill="1" applyBorder="1" applyAlignment="1">
      <x:alignment wrapText="1"/>
    </x:xf>
    <x:xf numFmtId="208" fontId="0" fillId="2" borderId="0" xfId="0" applyNumberFormat="1" applyFont="1" applyFill="1" applyBorder="1" applyAlignment="1">
      <x:alignment wrapText="1"/>
    </x:xf>
    <x:xf numFmtId="208" fontId="1" fillId="2" borderId="0" xfId="0" applyNumberFormat="1" applyFont="1" applyFill="1" applyBorder="1" applyAlignment="1">
      <x:alignment wrapText="1"/>
    </x:xf>
    <x:xf numFmtId="208" fontId="0" fillId="2" borderId="1" xfId="0" applyNumberFormat="1" applyFont="1" applyFill="1" applyBorder="1" applyAlignment="1">
      <x:alignment wrapText="1"/>
    </x:xf>
    <x:xf numFmtId="208" fontId="1" fillId="2"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95f450681624c2a" /><Relationship Type="http://schemas.openxmlformats.org/officeDocument/2006/relationships/theme" Target="/xl/theme/theme1.xml" Id="R4f09dbbab43d4566" /><Relationship Type="http://schemas.openxmlformats.org/officeDocument/2006/relationships/sharedStrings" Target="/xl/sharedStrings.xml" Id="R035610824f984532" /><Relationship Type="http://schemas.openxmlformats.org/officeDocument/2006/relationships/worksheet" Target="/xl/worksheets/sheet1.xml" Id="R1fe10a9cd46144e7" /><Relationship Type="http://schemas.openxmlformats.org/officeDocument/2006/relationships/worksheet" Target="/xl/worksheets/sheet2.xml" Id="R2f678c9a936245bb" /><Relationship Type="http://schemas.openxmlformats.org/officeDocument/2006/relationships/worksheet" Target="/xl/worksheets/sheet3.xml" Id="R40c3c5c33b4a4bdc" /><Relationship Type="http://schemas.openxmlformats.org/officeDocument/2006/relationships/worksheet" Target="/xl/worksheets/sheet4.xml" Id="Rf206882aeb3143cd" /><Relationship Type="http://schemas.openxmlformats.org/officeDocument/2006/relationships/worksheet" Target="/xl/worksheets/sheet5.xml" Id="R529af7ca5bc5427f" /><Relationship Type="http://schemas.openxmlformats.org/officeDocument/2006/relationships/worksheet" Target="/xl/worksheets/sheet6.xml" Id="R2051d9b714c94991" /><Relationship Type="http://schemas.microsoft.com/office/2017/10/relationships/person" Target="/xl/persons/person.xml" Id="R6e9edb44b3f744fc" /></Relationships>
</file>

<file path=xl/persons/person.xml><?xml version="1.0" encoding="utf-8"?>
<xltc:personList xmlns:xltc="http://schemas.microsoft.com/office/spreadsheetml/2018/threadedcomments">
  <xltc:person displayName="Dignity Act fiscal model" id="{83986EE0-7E25-4176-87DB-68D58EA4AEE1}"/>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2" dT="2026-09-26T00:11:36.512" personId="{83986EE0-7E25-4176-87DB-68D58EA4AEE1}" id="{C69CE0EC-0916-0C2C-0B35-FC5A686C87FE}">
    <xltc:text>HUD release, May 29 2026: https://www.hud.gov/news/hud-no-26-037</xltc:text>
  </xltc:threadedComment>
  <xltc:threadedComment ref="B3" dT="2026-09-26T00:11:36.512" personId="{83986EE0-7E25-4176-87DB-68D58EA4AEE1}" id="{DE0AE206-0C64-65B9-0D81-5A19CBA1017E}">
    <xltc:text>Same HUD release; a one-night count, not annual incidence.</xltc:text>
  </xltc:threadedComment>
  <xltc:threadedComment ref="B4" dT="2026-09-26T00:11:36.512" personId="{83986EE0-7E25-4176-87DB-68D58EA4AEE1}" id="{3D73469C-D11F-CC38-1A20-DC256B0417C9}">
    <xltc:text>Planning assumption, not a HUD household estimate.</xltc:text>
  </xltc:threadedComment>
  <xltc:threadedComment ref="B5" dT="2026-09-26T00:11:36.512" personId="{83986EE0-7E25-4176-87DB-68D58EA4AEE1}" id="{81C2DBED-C4AD-F301-9A88-7C2C5228A3A2}">
    <xltc:text>Illustrative allowance; not an estimated annual inflow.</xltc:text>
  </xltc:threadedComment>
  <xltc:threadedComment ref="B6" dT="2026-09-26T00:11:36.512" personId="{83986EE0-7E25-4176-87DB-68D58EA4AEE1}" id="{6A7695E0-2316-6361-B0ED-D8577E572A04}">
    <xltc:text>Proposed national delivery benchmark, subject to actual need and cost.</xltc:text>
  </xltc:threadedComment>
  <xltc:threadedComment ref="B7" dT="2026-09-26T00:11:36.512" personId="{83986EE0-7E25-4176-87DB-68D58EA4AEE1}" id="{C1F90C72-899D-952D-907E-982022DCB438}">
    <xltc:text>Proposed additional concurrent household assistance.</xltc:text>
  </xltc:threadedComment>
  <xltc:threadedComment ref="B8" dT="2026-09-26T00:11:36.512" personId="{83986EE0-7E25-4176-87DB-68D58EA4AEE1}" id="{A50C1502-FD87-7415-0FD5-B00624797EFA}">
    <xltc:text>Proposed new or converted spaces; not permanent housing.</xltc:text>
  </xltc:threadedComment>
  <xltc:threadedComment ref="B9" dT="2026-09-26T00:11:36.512" personId="{83986EE0-7E25-4176-87DB-68D58EA4AEE1}" id="{8BAE2826-EAA3-87E8-6940-60E81B59DD23}">
    <xltc:text>Illustrative planning assumption, not a forecast.</xltc:text>
  </xltc:threadedComment>
  <xltc:threadedComment ref="B10" dT="2026-09-26T00:11:36.512" personId="{83986EE0-7E25-4176-87DB-68D58EA4AEE1}" id="{56D5BC26-8512-B8A1-308F-9D8180F90D8E}">
    <xltc:text>Illustrative debt sensitivity; not a Treasury forecast.</xltc:text>
  </xltc:threadedComment>
  <xltc:threadedComment ref="B11" dT="2026-09-26T00:11:36.512" personId="{83986EE0-7E25-4176-87DB-68D58EA4AEE1}" id="{8549FE46-E0DA-C6F8-714B-FBEE2D470451}">
    <xltc:text>Assumes leave, training, and absence cover.</xltc:text>
  </xltc:threadedComment>
  <xltc:threadedComment ref="B12" dT="2026-09-26T00:11:36.512" personId="{83986EE0-7E25-4176-87DB-68D58EA4AEE1}" id="{ED5D4F70-7FC6-EA6B-5D0A-CB84F30E6E99}">
    <xltc:text>365 days x 24 hours; budget extra leap-day coverage when applicable.</xltc:text>
  </xltc:threadedComment>
  <xltc:threadedComment ref="B13" dT="2026-09-26T00:11:36.512" personId="{83986EE0-7E25-4176-87DB-68D58EA4AEE1}" id="{30CEC2D7-FC2E-0D65-169D-C3E605802CE9}">
    <xltc:text>Sensitivity assumption.</xltc:text>
  </xltc:threadedComment>
  <xltc:threadedComment ref="B14" dT="2026-09-26T00:11:36.512" personId="{83986EE0-7E25-4176-87DB-68D58EA4AEE1}" id="{C0805C85-BAD3-A8BC-E4AF-981B218392B2}">
    <xltc:text>Sensitivity assumption.</xltc:text>
  </xltc:threadedComment>
  <xltc:threadedComment ref="B15" dT="2026-09-26T00:11:36.512" personId="{83986EE0-7E25-4176-87DB-68D58EA4AEE1}" id="{B41345A3-346C-26C4-4B6E-870D9B5C454D}">
    <xltc:text>Sensitivity assumption.</xltc:text>
  </xltc:threadedComment>
  <xltc:threadedComment ref="B16" dT="2026-09-26T00:11:36.512" personId="{83986EE0-7E25-4176-87DB-68D58EA4AEE1}" id="{AEFE1D76-5CF5-278C-EBFA-AAE819ADCDC4}">
    <xltc:text>Sensitivity assumption.</xltc:text>
  </xltc:threadedComment>
  <xltc:threadedComment ref="B17" dT="2026-09-26T00:11:36.512" personId="{83986EE0-7E25-4176-87DB-68D58EA4AEE1}" id="{8F6DFEA9-2859-BCF9-0D3F-E13762C490D9}">
    <xltc:text>Illustrative cash-outlay lag.</xltc:text>
  </xltc:threadedComment>
  <xltc:threadedComment ref="B18" dT="2026-09-26T00:11:36.513" personId="{83986EE0-7E25-4176-87DB-68D58EA4AEE1}" id="{113FED04-9235-21A3-F668-BD6B714494A3}">
    <xltc:text>Illustrative cash-outlay lag.</xltc:text>
  </xltc:threadedComment>
  <xltc:threadedComment ref="B19" dT="2026-09-26T00:11:36.513" personId="{83986EE0-7E25-4176-87DB-68D58EA4AEE1}" id="{2EBD6016-F7AE-F980-5F60-35CABDBEF411}">
    <xltc:text>Illustrative cash-outlay lag.</xltc:text>
  </xltc:threadedComment>
  <xltc:threadedComment ref="B20" dT="2026-09-26T00:11:36.513" personId="{83986EE0-7E25-4176-87DB-68D58EA4AEE1}" id="{B8D0EE03-5258-4B22-CA83-E3E1E74C52E8}">
    <xltc:text>Illustrative cash-outlay lag.</xltc:text>
  </xltc:threadedComment>
  <xltc:threadedComment ref="B21" dT="2026-09-26T00:11:36.513" personId="{83986EE0-7E25-4176-87DB-68D58EA4AEE1}" id="{70A3EE7B-C238-1E8C-3E90-D4522AD66153}">
    <xltc:text>Illustrative cash-outlay lag.</xltc:text>
  </xltc:threadedComment>
</xltc:ThreadedComments>
</file>

<file path=xl/threadedcomments/threadedcomment2.xml><?xml version="1.0" encoding="utf-8"?>
<xltc:ThreadedComments xmlns:xltc="http://schemas.microsoft.com/office/spreadsheetml/2018/threadedcomments">
  <xltc:threadedComment ref="B2" dT="2026-09-26T00:19:23.616" personId="{83986EE0-7E25-4176-87DB-68D58EA4AEE1}" id="{1709325B-FDA9-00EE-6F01-7448B9652789}">
    <xltc:text>All program-year appropriation schedules are proposed policy assumptions in constant 2026 dollars, not an official CBO estimate. Capital and operating costs are separate; outlays and illustrative debt interest are modeled on this sheet.</xltc:text>
  </xltc:threadedComment>
</xltc:ThreadedComments>
</file>

<file path=xl/threadedcomments/threadedcomment3.xml><?xml version="1.0" encoding="utf-8"?>
<xltc:ThreadedComments xmlns:xltc="http://schemas.microsoft.com/office/spreadsheetml/2018/threadedcomments">
  <xltc:threadedComment ref="B2" dT="2026-09-26T00:11:36.513" personId="{83986EE0-7E25-4176-87DB-68D58EA4AEE1}" id="{21A7D4D2-DA20-21FE-95ED-2A2C503DD3E5}">
    <xltc:text>Illustrative household mix below.</xltc:text>
  </xltc:threadedComment>
  <xltc:threadedComment ref="B3" dT="2026-09-26T00:11:36.513" personId="{83986EE0-7E25-4176-87DB-68D58EA4AEE1}" id="{9DD51701-4EDC-5386-BE1D-F0BB7BEE1748}">
    <xltc:text>Planning assumption; not a legal minimum.</xltc:text>
  </xltc:threadedComment>
  <xltc:threadedComment ref="B4" dT="2026-09-26T00:11:36.513" personId="{83986EE0-7E25-4176-87DB-68D58EA4AEE1}" id="{07D4346C-D191-5D65-A4BA-8E6C3B9F1EB2}">
    <xltc:text>Includes circulation and common facilities.</xltc:text>
  </xltc:threadedComment>
  <xltc:threadedComment ref="B5" dT="2026-09-26T00:11:36.513" personId="{83986EE0-7E25-4176-87DB-68D58EA4AEE1}" id="{B3D4DA66-B09E-4427-1982-0822573E198B}">
    <xltc:text>Scenario assumption; replace with a local appraisal.</xltc:text>
  </xltc:threadedComment>
  <xltc:threadedComment ref="B6" dT="2026-09-26T00:11:36.513" personId="{83986EE0-7E25-4176-87DB-68D58EA4AEE1}" id="{01EC0134-9A04-84BF-2D3C-DA3A6A09913A}">
    <xltc:text>170 single homes; 10 couple homes; 5 adult-pair homes; 10 three-person family homes; 5 four-person family homes.</xltc:text>
  </xltc:threadedComment>
  <xltc:threadedComment ref="B7" dT="2026-09-26T00:11:36.513" personId="{83986EE0-7E25-4176-87DB-68D58EA4AEE1}" id="{1EE11D25-87AD-7D1F-6FBB-815E4BC0CA04}">
    <xltc:text>Planning allowance; not a manufacturer quote.</xltc:text>
  </xltc:threadedComment>
  <xltc:threadedComment ref="B8" dT="2026-09-26T00:11:36.513" personId="{83986EE0-7E25-4176-87DB-68D58EA4AEE1}" id="{51FBEF55-C86C-F0B4-DD3B-E61A778C3453}">
    <xltc:text>Program planning assumption.</xltc:text>
  </xltc:threadedComment>
  <xltc:threadedComment ref="B9" dT="2026-09-26T00:11:36.513" personId="{83986EE0-7E25-4176-87DB-68D58EA4AEE1}" id="{F99BF1EF-6BF3-ABB9-BBE1-841D3C28A452}">
    <xltc:text>Program planning assumption.</xltc:text>
  </xltc:threadedComment>
  <xltc:threadedComment ref="B10" dT="2026-09-26T00:11:36.513" personId="{83986EE0-7E25-4176-87DB-68D58EA4AEE1}" id="{71DF9B15-386A-7998-6776-1E89532BEAC7}">
    <xltc:text>200 households, 250 people.</xltc:text>
  </xltc:threadedComment>
  <xltc:threadedComment ref="B11" dT="2026-09-26T00:11:36.513" personId="{83986EE0-7E25-4176-87DB-68D58EA4AEE1}" id="{97C7BDE0-85C6-2B79-D82B-984AB0D98CD2}">
    <xltc:text>Applied to pre-contingency non-land costs.</xltc:text>
  </xltc:threadedComment>
  <xltc:threadedComment ref="B12" dT="2026-09-26T00:11:36.513" personId="{83986EE0-7E25-4176-87DB-68D58EA4AEE1}" id="{A6CDBB6A-EC4A-A7B1-23CB-94919CA2C9DF}">
    <xltc:text>Opening reserve balance, not a second operating expense.</xltc:text>
  </xltc:threadedComment>
  <xltc:threadedComment ref="B13" dT="2026-09-26T00:11:36.513" personId="{83986EE0-7E25-4176-87DB-68D58EA4AEE1}" id="{241C2223-7013-4E8F-C8C9-55B961A03D93}">
    <xltc:text>Two through 150 residents, plus one per started block of 75 additional residents.</xltc:text>
  </xltc:threadedComment>
  <xltc:threadedComment ref="B14" dT="2026-09-26T00:11:36.513" personId="{83986EE0-7E25-4176-87DB-68D58EA4AEE1}" id="{4544DE87-6710-A5E9-5E3D-C06D89B623EE}">
    <xltc:text>Illustrative service mix, not a population finding.</xltc:text>
  </xltc:threadedComment>
  <xltc:threadedComment ref="B15" dT="2026-09-26T00:11:36.514" personId="{83986EE0-7E25-4176-87DB-68D58EA4AEE1}" id="{E818EA54-0EEA-8E1F-8A10-DB4B0DFE7E09}">
    <xltc:text>Illustrative receipt, not an imposed minimum rent.</xltc:text>
  </xltc:threadedComment>
  <xltc:threadedComment ref="B16" dT="2026-09-26T00:11:36.514" personId="{83986EE0-7E25-4176-87DB-68D58EA4AEE1}" id="{430FEB46-A867-F394-4E4D-8B5AE7834975}">
    <xltc:text>Planning assumption.</xltc:text>
  </xltc:threadedComment>
</xltc:ThreadedComments>
</file>

<file path=xl/worksheets/_rels/sheet2.xml.rels>&#65279;<?xml version="1.0" encoding="utf-8"?><Relationships xmlns="http://schemas.openxmlformats.org/package/2006/relationships"><Relationship Type="http://schemas.openxmlformats.org/officeDocument/2006/relationships/comments" Target="/xl/comments1.xml" Id="R24d66f15d890423f" /><Relationship Type="http://schemas.openxmlformats.org/officeDocument/2006/relationships/vmlDrawing" Target="/xl/drawings/vmldrawing.vml" Id="R172cd2df38054b1f" /><Relationship Type="http://schemas.microsoft.com/office/2017/10/relationships/threadedComment" Target="/xl/threadedcomments/threadedcomment.xml" Id="Ra92a045c11d14770" /></Relationships>
</file>

<file path=xl/worksheets/_rels/sheet3.xml.rels>&#65279;<?xml version="1.0" encoding="utf-8"?><Relationships xmlns="http://schemas.openxmlformats.org/package/2006/relationships"><Relationship Type="http://schemas.openxmlformats.org/officeDocument/2006/relationships/comments" Target="/xl/comments2.xml" Id="R27a465881c7641fd" /><Relationship Type="http://schemas.openxmlformats.org/officeDocument/2006/relationships/vmlDrawing" Target="/xl/drawings/vmldrawing2.vml" Id="R41b7a95d7ec949b6" /><Relationship Type="http://schemas.microsoft.com/office/2017/10/relationships/threadedComment" Target="/xl/threadedcomments/threadedcomment2.xml" Id="Rf23c3c76e99147bf" /></Relationships>
</file>

<file path=xl/worksheets/_rels/sheet4.xml.rels>&#65279;<?xml version="1.0" encoding="utf-8"?><Relationships xmlns="http://schemas.openxmlformats.org/package/2006/relationships"><Relationship Type="http://schemas.openxmlformats.org/officeDocument/2006/relationships/comments" Target="/xl/comments3.xml" Id="R1c1e9f8da8bf4827" /><Relationship Type="http://schemas.openxmlformats.org/officeDocument/2006/relationships/vmlDrawing" Target="/xl/drawings/vmldrawing3.vml" Id="R1dabe12922dc4e90" /><Relationship Type="http://schemas.microsoft.com/office/2017/10/relationships/threadedComment" Target="/xl/threadedcomments/threadedcomment3.xml" Id="Ra2884453ba3a4297" /></Relationships>
</file>

<file path=xl/worksheets/sheet1.xml><?xml version="1.0" encoding="utf-8"?>
<x:worksheet xmlns:x="http://schemas.openxmlformats.org/spreadsheetml/2006/main">
  <x:sheetFormatPr defaultRowHeight="15"/>
  <x:cols>
    <x:col min="1" max="1" width="42" hidden="0" customWidth="1"/>
    <x:col min="2" max="2" width="19" hidden="0" customWidth="1"/>
    <x:col min="3" max="3" width="19" hidden="0" customWidth="1"/>
    <x:col min="4" max="4" width="19" hidden="0" customWidth="1"/>
    <x:col min="5" max="5" width="27" hidden="0" customWidth="1"/>
    <x:col min="6" max="6" width="19" hidden="0" customWidth="1"/>
  </x:cols>
  <x:sheetData>
    <x:row r="1" ht="36" customHeight="1">
      <x:c r="A1" s="49" t="str">
        <x:v>DIGNITY ACT | Fiscal planning model</x:v>
      </x:c>
      <x:c r="B1" s="7"/>
      <x:c r="C1" s="7"/>
      <x:c r="D1" s="7"/>
      <x:c r="E1" s="7"/>
      <x:c r="F1" s="7"/>
    </x:row>
    <x:row r="2" ht="23" customHeight="1">
      <x:c r="A2" s="11" t="str">
        <x:v>2026 planning dollars. This is an illustrative legislative funding model—not a CBO score, land appraisal, construction bid, or forecast. Blue inputs are editable; formulas calculate the results.</x:v>
      </x:c>
      <x:c r="B2" s="11"/>
      <x:c r="C2" s="11"/>
      <x:c r="D2" s="11"/>
      <x:c r="E2" s="11"/>
      <x:c r="F2" s="11"/>
    </x:row>
    <x:row r="3" ht="23" customHeight="1">
      <x:c r="A3" s="11"/>
      <x:c r="B3" s="11"/>
      <x:c r="C3" s="11"/>
      <x:c r="D3" s="11"/>
      <x:c r="E3" s="11"/>
      <x:c r="F3" s="11"/>
    </x:row>
    <x:row r="4" ht="23" customHeight="1">
      <x:c r="A4" s="11"/>
      <x:c r="B4" s="11"/>
      <x:c r="C4" s="11"/>
      <x:c r="D4" s="11"/>
      <x:c r="E4" s="11"/>
      <x:c r="F4" s="11"/>
    </x:row>
    <x:row r="5" ht="28" customHeight="1">
      <x:c r="A5" s="11" t="str">
        <x:v>Verified one-night homeless persons</x:v>
      </x:c>
      <x:c r="B5" s="51" t="n">
        <x:f>Inputs!B2</x:f>
        <x:v>745652</x:v>
      </x:c>
      <x:c r="C5" s="11"/>
      <x:c r="D5" s="11"/>
      <x:c r="E5" s="11"/>
      <x:c r="F5" s="11"/>
    </x:row>
    <x:row r="6" ht="28" customHeight="1">
      <x:c r="A6" s="11" t="str">
        <x:v>Assumed household equivalents</x:v>
      </x:c>
      <x:c r="B6" s="51" t="n">
        <x:f>Inputs!B2/Inputs!B4</x:f>
        <x:v>532608.5714285715</x:v>
      </x:c>
      <x:c r="C6" s="11"/>
      <x:c r="D6" s="11"/>
      <x:c r="E6" s="11"/>
      <x:c r="F6" s="11"/>
    </x:row>
    <x:row r="7" ht="28" customHeight="1">
      <x:c r="A7" s="11" t="str">
        <x:v>Household equivalents plus buffer</x:v>
      </x:c>
      <x:c r="B7" s="51" t="n">
        <x:f>B6*(1+Inputs!B5)</x:f>
        <x:v>665760.7142857143</x:v>
      </x:c>
      <x:c r="C7" s="11"/>
      <x:c r="D7" s="11"/>
      <x:c r="E7" s="11"/>
      <x:c r="F7" s="11"/>
    </x:row>
    <x:row r="8" ht="28" customHeight="1">
      <x:c r="A8" s="11" t="str">
        <x:v>Proposed permanent household capacity</x:v>
      </x:c>
      <x:c r="B8" s="51" t="n">
        <x:f>SUM(Inputs!B6:B7)</x:f>
        <x:v>850000</x:v>
      </x:c>
      <x:c r="C8" s="11"/>
      <x:c r="D8" s="11"/>
      <x:c r="E8" s="11"/>
      <x:c r="F8" s="11"/>
    </x:row>
    <x:row r="9" ht="28" customHeight="1">
      <x:c r="A9" s="11" t="str">
        <x:v>Prototype capital cost</x:v>
      </x:c>
      <x:c r="B9" s="53" t="n">
        <x:f>Village!B33</x:f>
        <x:v>51900000</x:v>
      </x:c>
      <x:c r="C9" s="11"/>
      <x:c r="D9" s="11"/>
      <x:c r="E9" s="11"/>
      <x:c r="F9" s="11"/>
    </x:row>
    <x:row r="10" ht="28" customHeight="1">
      <x:c r="A10" s="11" t="str">
        <x:v>Prototype annual net support</x:v>
      </x:c>
      <x:c r="B10" s="53" t="n">
        <x:f>Staffing!D29</x:f>
        <x:v>7808250.000000001</x:v>
      </x:c>
      <x:c r="C10" s="11"/>
      <x:c r="D10" s="11"/>
      <x:c r="E10" s="11"/>
      <x:c r="F10" s="11"/>
    </x:row>
    <x:row r="11" ht="23" customHeight="1">
      <x:c r="A11" s="11"/>
      <x:c r="B11" s="11"/>
      <x:c r="C11" s="11"/>
      <x:c r="D11" s="11"/>
      <x:c r="E11" s="11"/>
      <x:c r="F11" s="11"/>
    </x:row>
    <x:row r="12" ht="23" customHeight="1">
      <x:c r="A12" s="11"/>
      <x:c r="B12" s="11"/>
      <x:c r="C12" s="11"/>
      <x:c r="D12" s="11"/>
      <x:c r="E12" s="11"/>
      <x:c r="F12" s="11"/>
    </x:row>
    <x:row r="13" ht="52" customHeight="1">
      <x:c r="A13" s="7" t="str">
        <x:v>Years</x:v>
      </x:c>
      <x:c r="B13" s="7" t="str">
        <x:v>Real authority, $B</x:v>
      </x:c>
      <x:c r="C13" s="7" t="str">
        <x:v>Nominal authority, $B</x:v>
      </x:c>
      <x:c r="D13" s="7" t="str">
        <x:v>Cash outlays, $B</x:v>
      </x:c>
      <x:c r="E13" s="7" t="str">
        <x:v>Interest, $B</x:v>
      </x:c>
      <x:c r="F13" s="7" t="str">
        <x:v>Year-end debt, $B</x:v>
      </x:c>
    </x:row>
    <x:row r="14" ht="23" customHeight="1">
      <x:c r="A14" s="11" t="n">
        <x:v>1</x:v>
      </x:c>
      <x:c r="B14" s="55" t="n">
        <x:f>SUM(National!D2:D2)</x:f>
        <x:v>44</x:v>
      </x:c>
      <x:c r="C14" s="55" t="n">
        <x:f>SUM(National!H2:H2)</x:f>
        <x:v>44</x:v>
      </x:c>
      <x:c r="D14" s="55" t="n">
        <x:f>SUM(National!I2:I2)</x:f>
        <x:v>25.6</x:v>
      </x:c>
      <x:c r="E14" s="55" t="n">
        <x:f>SUM(National!K2:K2)</x:f>
        <x:v>0.512</x:v>
      </x:c>
      <x:c r="F14" s="55" t="n">
        <x:f>National!L2</x:f>
        <x:v>26.112000000000002</x:v>
      </x:c>
    </x:row>
    <x:row r="15" ht="23" customHeight="1">
      <x:c r="A15" s="11" t="n">
        <x:v>5</x:v>
      </x:c>
      <x:c r="B15" s="55" t="n">
        <x:f>SUM(National!D2:D6)</x:f>
        <x:v>363</x:v>
      </x:c>
      <x:c r="C15" s="55" t="n">
        <x:f>SUM(National!H2:H6)</x:f>
        <x:v>384.60572226562493</x:v>
      </x:c>
      <x:c r="D15" s="55" t="n">
        <x:f>SUM(National!I2:I6)</x:f>
        <x:v>334.81568421875</x:v>
      </x:c>
      <x:c r="E15" s="55" t="n">
        <x:f>SUM(National!K2:K6)</x:f>
        <x:v>26.808342812695003</x:v>
      </x:c>
      <x:c r="F15" s="55" t="n">
        <x:f>National!L6</x:f>
        <x:v>361.62402703144505</x:v>
      </x:c>
    </x:row>
    <x:row r="16" ht="23" customHeight="1">
      <x:c r="A16" s="11" t="n">
        <x:v>10</x:v>
      </x:c>
      <x:c r="B16" s="55" t="n">
        <x:f>SUM(National!D2:D11)</x:f>
        <x:v>746</x:v>
      </x:c>
      <x:c r="C16" s="55" t="n">
        <x:f>SUM(National!H2:H11)</x:f>
        <x:v>838.2107272262955</x:v>
      </x:c>
      <x:c r="D16" s="55" t="n">
        <x:f>SUM(National!I2:I11)</x:f>
        <x:v>823.894493180554</x:v>
      </x:c>
      <x:c r="E16" s="55" t="n">
        <x:f>SUM(National!K2:K11)</x:f>
        <x:v>158.38784905016928</x:v>
      </x:c>
      <x:c r="F16" s="55" t="n">
        <x:f>National!L11</x:f>
        <x:v>982.2823422307233</x:v>
      </x:c>
    </x:row>
    <x:row r="17" ht="23" customHeight="1">
      <x:c r="A17" s="11" t="n">
        <x:v>30</x:v>
      </x:c>
      <x:c r="B17" s="55" t="n">
        <x:f>SUM(National!D2:D31)</x:f>
        <x:v>2046</x:v>
      </x:c>
      <x:c r="C17" s="55" t="n">
        <x:f>SUM(National!H2:H31)</x:f>
        <x:v>2963.666617928421</x:v>
      </x:c>
      <x:c r="D17" s="55" t="n">
        <x:f>SUM(National!I2:I31)</x:f>
        <x:v>2940.2078014580234</x:v>
      </x:c>
      <x:c r="E17" s="55" t="n">
        <x:f>SUM(National!K2:K31)</x:f>
        <x:v>2324.7154707390123</x:v>
      </x:c>
      <x:c r="F17" s="55" t="n">
        <x:f>National!L31</x:f>
        <x:v>5264.923272197036</x:v>
      </x:c>
    </x:row>
    <x:row r="18" ht="23" customHeight="1">
      <x:c r="A18" s="11"/>
      <x:c r="B18" s="11"/>
      <x:c r="C18" s="11"/>
      <x:c r="D18" s="11"/>
      <x:c r="E18" s="11"/>
      <x:c r="F18" s="11"/>
    </x:row>
    <x:row r="19" ht="23" customHeight="1">
      <x:c r="A19" s="11"/>
      <x:c r="B19" s="11"/>
      <x:c r="C19" s="11"/>
      <x:c r="D19" s="11"/>
      <x:c r="E19" s="11"/>
      <x:c r="F19" s="11"/>
    </x:row>
    <x:row r="20" ht="44" customHeight="1">
      <x:c r="A20" s="7" t="str">
        <x:v>Window</x:v>
      </x:c>
      <x:c r="B20" s="7" t="str">
        <x:v>Lower-cost: real $B</x:v>
      </x:c>
      <x:c r="C20" s="7" t="str">
        <x:v>Base: real $B</x:v>
      </x:c>
      <x:c r="D20" s="7" t="str">
        <x:v>Higher-cost: real $B</x:v>
      </x:c>
      <x:c r="E20" s="7" t="str">
        <x:v>Meaning</x:v>
      </x:c>
      <x:c r="F20" s="11"/>
    </x:row>
    <x:row r="21" ht="45" customHeight="1">
      <x:c r="A21" s="11" t="n">
        <x:v>1</x:v>
      </x:c>
      <x:c r="B21" s="55" t="n">
        <x:f>SUM(National!O2:O2)</x:f>
        <x:v>36.4</x:v>
      </x:c>
      <x:c r="C21" s="55" t="n">
        <x:f>SUM(National!D2:D2)</x:f>
        <x:v>44</x:v>
      </x:c>
      <x:c r="D21" s="55" t="n">
        <x:f>SUM(National!P2:P2)</x:f>
        <x:v>57</x:v>
      </x:c>
      <x:c r="E21" s="11" t="str">
        <x:v>Cost needs; statutory appropriations do not automatically change with these scenarios.</x:v>
      </x:c>
      <x:c r="F21" s="11"/>
    </x:row>
    <x:row r="22" ht="45" customHeight="1">
      <x:c r="A22" s="11" t="n">
        <x:v>5</x:v>
      </x:c>
      <x:c r="B22" s="55" t="n">
        <x:f>SUM(National!O2:O6)</x:f>
        <x:v>300.29999999999995</x:v>
      </x:c>
      <x:c r="C22" s="55" t="n">
        <x:f>SUM(National!D2:D6)</x:f>
        <x:v>363</x:v>
      </x:c>
      <x:c r="D22" s="55" t="n">
        <x:f>SUM(National!P2:P6)</x:f>
        <x:v>470.25</x:v>
      </x:c>
      <x:c r="E22" s="11" t="str">
        <x:v>Cost needs; statutory appropriations do not automatically change with these scenarios.</x:v>
      </x:c>
      <x:c r="F22" s="11"/>
    </x:row>
    <x:row r="23" ht="45" customHeight="1">
      <x:c r="A23" s="11" t="n">
        <x:v>10</x:v>
      </x:c>
      <x:c r="B23" s="55" t="n">
        <x:f>SUM(National!O2:O11)</x:f>
        <x:v>621.5999999999999</x:v>
      </x:c>
      <x:c r="C23" s="55" t="n">
        <x:f>SUM(National!D2:D11)</x:f>
        <x:v>746</x:v>
      </x:c>
      <x:c r="D23" s="55" t="n">
        <x:f>SUM(National!P2:P11)</x:f>
        <x:v>957.5</x:v>
      </x:c>
      <x:c r="E23" s="11" t="str">
        <x:v>Cost needs; statutory appropriations do not automatically change with these scenarios.</x:v>
      </x:c>
      <x:c r="F23" s="11"/>
    </x:row>
    <x:row r="24" ht="45" customHeight="1">
      <x:c r="A24" s="11" t="n">
        <x:v>30</x:v>
      </x:c>
      <x:c r="B24" s="55" t="n">
        <x:f>SUM(National!O2:O31)</x:f>
        <x:v>1721.6</x:v>
      </x:c>
      <x:c r="C24" s="55" t="n">
        <x:f>SUM(National!D2:D31)</x:f>
        <x:v>2046</x:v>
      </x:c>
      <x:c r="D24" s="55" t="n">
        <x:f>SUM(National!P2:P31)</x:f>
        <x:v>2592.5</x:v>
      </x:c>
      <x:c r="E24" s="11" t="str">
        <x:v>Cost needs; statutory appropriations do not automatically change with these scenarios.</x:v>
      </x:c>
      <x:c r="F24" s="11"/>
    </x:row>
    <x:row r="25" ht="23" customHeight="1">
      <x:c r="A25" s="11"/>
      <x:c r="B25" s="11"/>
      <x:c r="C25" s="11"/>
      <x:c r="D25" s="11"/>
      <x:c r="E25" s="11"/>
      <x:c r="F25" s="11"/>
    </x:row>
    <x:row r="26" ht="23" customHeight="1">
      <x:c r="A26" s="11"/>
      <x:c r="B26" s="11"/>
      <x:c r="C26" s="11"/>
      <x:c r="D26" s="11"/>
      <x:c r="E26" s="11"/>
      <x:c r="F26" s="11"/>
    </x:row>
    <x:row r="27" ht="27" customHeight="1">
      <x:c r="A27" s="11" t="str">
        <x:v>Scope: 600,000 capital-supported homes; 250,000 concurrent portable household subsidies; 100,000 bridge/clinical spaces. New build-out capital is $240B over eight years. Years 9 onward include $5B/year major renewal. Annual operations rise to $60B. Existing federal homelessness programs are not counted as available new capacity or used as an offset.</x:v>
      </x:c>
      <x:c r="B27" s="11"/>
      <x:c r="C27" s="11"/>
      <x:c r="D27" s="11"/>
      <x:c r="E27" s="11"/>
      <x:c r="F27" s="11"/>
    </x:row>
    <x:row r="28" ht="27" customHeight="1">
      <x:c r="A28" s="11"/>
      <x:c r="B28" s="11"/>
      <x:c r="C28" s="11"/>
      <x:c r="D28" s="11"/>
      <x:c r="E28" s="11"/>
      <x:c r="F28" s="11"/>
    </x:row>
    <x:row r="29" ht="27" customHeight="1">
      <x:c r="A29" s="11"/>
      <x:c r="B29" s="11"/>
      <x:c r="C29" s="11"/>
      <x:c r="D29" s="11"/>
      <x:c r="E29" s="11"/>
      <x:c r="F29" s="11"/>
    </x:row>
    <x:row r="30" ht="27" customHeight="1">
      <x:c r="A30" s="11"/>
      <x:c r="B30" s="11"/>
      <x:c r="C30" s="11"/>
      <x:c r="D30" s="11"/>
      <x:c r="E30" s="11"/>
      <x:c r="F30" s="11"/>
    </x:row>
    <x:row r="31" ht="27" customHeight="1">
      <x:c r="A31" s="11" t="str">
        <x:v>No healthcare, jail, or shelter savings are credited as federal offsets. Debt calculations assume all modeled outlays and interest are borrowed at the editable rate, with spending spread evenly within each year. These are scenarios, not official estimates. Cash outlays lag budget authority. Workforce salaries, local land values, construction costs, household mix, and inflation require local validation.</x:v>
      </x:c>
      <x:c r="B31" s="11"/>
      <x:c r="C31" s="11"/>
      <x:c r="D31" s="11"/>
      <x:c r="E31" s="11"/>
      <x:c r="F31" s="11"/>
    </x:row>
    <x:row r="32" ht="27" customHeight="1">
      <x:c r="A32" s="11"/>
      <x:c r="B32" s="11"/>
      <x:c r="C32" s="11"/>
      <x:c r="D32" s="11"/>
      <x:c r="E32" s="11"/>
      <x:c r="F32" s="11"/>
    </x:row>
    <x:row r="33" ht="27" customHeight="1">
      <x:c r="A33" s="11"/>
      <x:c r="B33" s="11"/>
      <x:c r="C33" s="11"/>
      <x:c r="D33" s="11"/>
      <x:c r="E33" s="11"/>
      <x:c r="F33" s="11"/>
    </x:row>
    <x:row r="34" ht="27" customHeight="1">
      <x:c r="A34" s="11"/>
      <x:c r="B34" s="11"/>
      <x:c r="C34" s="11"/>
      <x:c r="D34" s="11"/>
      <x:c r="E34" s="11"/>
      <x:c r="F34" s="11"/>
    </x:row>
    <x:row r="35" ht="27" customHeight="1">
      <x:c r="A35" s="11" t="str">
        <x:v>Do not add the village budget to the national budget: the prototype illustrates costs already represented in the national envelope. Resident rent reduces the net subsidy requirement. The opening liquidity reserve is a balance-sheet cushion; draws must be reconciled against annual reimbursements. Means-tested benefit interactions, private compliance costs, and broader macroeconomic effects are not separately scored.</x:v>
      </x:c>
      <x:c r="B35" s="11"/>
      <x:c r="C35" s="11"/>
      <x:c r="D35" s="11"/>
      <x:c r="E35" s="11"/>
      <x:c r="F35" s="11"/>
    </x:row>
    <x:row r="36" ht="27" customHeight="1">
      <x:c r="A36" s="11"/>
      <x:c r="B36" s="11"/>
      <x:c r="C36" s="11"/>
      <x:c r="D36" s="11"/>
      <x:c r="E36" s="11"/>
      <x:c r="F36" s="11"/>
    </x:row>
    <x:row r="37" ht="27" customHeight="1">
      <x:c r="A37" s="11"/>
      <x:c r="B37" s="11"/>
      <x:c r="C37" s="11"/>
      <x:c r="D37" s="11"/>
      <x:c r="E37" s="11"/>
      <x:c r="F37" s="11"/>
    </x:row>
  </x:sheetData>
  <x:mergeCells>
    <x:mergeCell ref="A1:F1"/>
    <x:mergeCell ref="A2:F3"/>
    <x:mergeCell ref="A27:F29"/>
    <x:mergeCell ref="A31:F33"/>
    <x:mergeCell ref="A35:F37"/>
  </x:mergeCells>
  <x:pageMargins left="0.7" right="0.7" top="0.75" bottom="0.75" header="0.3" footer="0.3"/>
</x:worksheet>
</file>

<file path=xl/worksheets/sheet2.xml><?xml version="1.0" encoding="utf-8"?>
<x:worksheet xmlns:x="http://schemas.openxmlformats.org/spreadsheetml/2006/main">
  <x:sheetFormatPr defaultRowHeight="15"/>
  <x:cols>
    <x:col min="1" max="1" width="42" hidden="0" customWidth="1"/>
    <x:col min="2" max="2" width="19" hidden="0" customWidth="1"/>
    <x:col min="3" max="3" width="75" hidden="0" customWidth="1"/>
  </x:cols>
  <x:sheetData>
    <x:row r="1" ht="38" customHeight="1">
      <x:c r="A1" s="7" t="str">
        <x:v>Input</x:v>
      </x:c>
      <x:c r="B1" s="7" t="str">
        <x:v>Value</x:v>
      </x:c>
      <x:c r="C1" s="7" t="str">
        <x:v>Basis / source</x:v>
      </x:c>
    </x:row>
    <x:row r="2" ht="43" customHeight="1">
      <x:c r="A2" s="11" t="str">
        <x:v>PIT persons, January 2025</x:v>
      </x:c>
      <x:c r="B2" s="29" t="n">
        <x:v>745652</x:v>
      </x:c>
      <x:c r="C2" s="21" t="str">
        <x:v>HUD release, May 29 2026: https://www.hud.gov/news/hud-no-26-037</x:v>
      </x:c>
      <x:c r="D2" s="17"/>
    </x:row>
    <x:row r="3" ht="43" customHeight="1">
      <x:c r="A3" s="11" t="str">
        <x:v>PIT unsheltered persons</x:v>
      </x:c>
      <x:c r="B3" s="29" t="n">
        <x:v>266320</x:v>
      </x:c>
      <x:c r="C3" s="21" t="str">
        <x:v>Same HUD release; a one-night count, not annual incidence.</x:v>
      </x:c>
      <x:c r="D3" s="17"/>
    </x:row>
    <x:row r="4" ht="43" customHeight="1">
      <x:c r="A4" s="11" t="str">
        <x:v>Assumed people per household</x:v>
      </x:c>
      <x:c r="B4" s="29" t="n">
        <x:v>1.4</x:v>
      </x:c>
      <x:c r="C4" s="21" t="str">
        <x:v>Planning assumption, not a HUD household estimate.</x:v>
      </x:c>
      <x:c r="D4" s="17"/>
    </x:row>
    <x:row r="5" ht="43" customHeight="1">
      <x:c r="A5" s="11" t="str">
        <x:v>Planning buffer</x:v>
      </x:c>
      <x:c r="B5" s="33" t="n">
        <x:v>0.25</x:v>
      </x:c>
      <x:c r="C5" s="21" t="str">
        <x:v>Illustrative allowance; not an estimated annual inflow.</x:v>
      </x:c>
      <x:c r="D5" s="17"/>
    </x:row>
    <x:row r="6" ht="43" customHeight="1">
      <x:c r="A6" s="11" t="str">
        <x:v>Capital-funded permanent dwellings</x:v>
      </x:c>
      <x:c r="B6" s="29" t="n">
        <x:v>600000</x:v>
      </x:c>
      <x:c r="C6" s="21" t="str">
        <x:v>Proposed national delivery benchmark, subject to actual need and cost.</x:v>
      </x:c>
      <x:c r="D6" s="17"/>
    </x:row>
    <x:row r="7" ht="43" customHeight="1">
      <x:c r="A7" s="11" t="str">
        <x:v>Portable long-term household subsidies</x:v>
      </x:c>
      <x:c r="B7" s="29" t="n">
        <x:v>250000</x:v>
      </x:c>
      <x:c r="C7" s="21" t="str">
        <x:v>Proposed additional concurrent household assistance.</x:v>
      </x:c>
      <x:c r="D7" s="17"/>
    </x:row>
    <x:row r="8" ht="43" customHeight="1">
      <x:c r="A8" s="11" t="str">
        <x:v>Bridge / clinical spaces</x:v>
      </x:c>
      <x:c r="B8" s="29" t="n">
        <x:v>100000</x:v>
      </x:c>
      <x:c r="C8" s="21" t="str">
        <x:v>Proposed new or converted spaces; not permanent housing.</x:v>
      </x:c>
      <x:c r="D8" s="17"/>
    </x:row>
    <x:row r="9" ht="43" customHeight="1">
      <x:c r="A9" s="11" t="str">
        <x:v>Annual price growth</x:v>
      </x:c>
      <x:c r="B9" s="31" t="n">
        <x:v>0.025</x:v>
      </x:c>
      <x:c r="C9" s="21" t="str">
        <x:v>Illustrative planning assumption, not a forecast.</x:v>
      </x:c>
      <x:c r="D9" s="17"/>
    </x:row>
    <x:row r="10" ht="43" customHeight="1">
      <x:c r="A10" s="11" t="str">
        <x:v>Borrowing interest rate</x:v>
      </x:c>
      <x:c r="B10" s="31" t="n">
        <x:v>0.04</x:v>
      </x:c>
      <x:c r="C10" s="21" t="str">
        <x:v>Illustrative debt sensitivity; not a Treasury forecast.</x:v>
      </x:c>
      <x:c r="D10" s="17"/>
    </x:row>
    <x:row r="11" ht="43" customHeight="1">
      <x:c r="A11" s="11" t="str">
        <x:v>Annual productive hours per worker</x:v>
      </x:c>
      <x:c r="B11" s="15" t="n">
        <x:v>1680</x:v>
      </x:c>
      <x:c r="C11" s="21" t="str">
        <x:v>Assumes leave, training, and absence cover.</x:v>
      </x:c>
      <x:c r="D11" s="17"/>
    </x:row>
    <x:row r="12" ht="43" customHeight="1">
      <x:c r="A12" s="11" t="str">
        <x:v>Hours per year per continuous post</x:v>
      </x:c>
      <x:c r="B12" s="15" t="n">
        <x:v>8760</x:v>
      </x:c>
      <x:c r="C12" s="21" t="str">
        <x:v>365 days x 24 hours; budget extra leap-day coverage when applicable.</x:v>
      </x:c>
      <x:c r="D12" s="17"/>
    </x:row>
    <x:row r="13" ht="43" customHeight="1">
      <x:c r="A13" s="11" t="str">
        <x:v>Low capital cost factor</x:v>
      </x:c>
      <x:c r="B13" s="31" t="n">
        <x:v>0.8</x:v>
      </x:c>
      <x:c r="C13" s="21" t="str">
        <x:v>Sensitivity assumption.</x:v>
      </x:c>
      <x:c r="D13" s="17"/>
    </x:row>
    <x:row r="14" ht="43" customHeight="1">
      <x:c r="A14" s="11" t="str">
        <x:v>Low operating cost factor</x:v>
      </x:c>
      <x:c r="B14" s="31" t="n">
        <x:v>0.85</x:v>
      </x:c>
      <x:c r="C14" s="21" t="str">
        <x:v>Sensitivity assumption.</x:v>
      </x:c>
      <x:c r="D14" s="17"/>
    </x:row>
    <x:row r="15" ht="43" customHeight="1">
      <x:c r="A15" s="11" t="str">
        <x:v>High capital cost factor</x:v>
      </x:c>
      <x:c r="B15" s="31" t="n">
        <x:v>1.35</x:v>
      </x:c>
      <x:c r="C15" s="21" t="str">
        <x:v>Sensitivity assumption.</x:v>
      </x:c>
      <x:c r="D15" s="17"/>
    </x:row>
    <x:row r="16" ht="43" customHeight="1">
      <x:c r="A16" s="11" t="str">
        <x:v>High operating cost factor</x:v>
      </x:c>
      <x:c r="B16" s="31" t="n">
        <x:v>1.25</x:v>
      </x:c>
      <x:c r="C16" s="21" t="str">
        <x:v>Sensitivity assumption.</x:v>
      </x:c>
      <x:c r="D16" s="17"/>
    </x:row>
    <x:row r="17" ht="43" customHeight="1">
      <x:c r="A17" s="11" t="str">
        <x:v>Capital disbursement, award year</x:v>
      </x:c>
      <x:c r="B17" s="31" t="n">
        <x:v>0.2</x:v>
      </x:c>
      <x:c r="C17" s="21" t="str">
        <x:v>Illustrative cash-outlay lag.</x:v>
      </x:c>
      <x:c r="D17" s="17"/>
    </x:row>
    <x:row r="18" ht="43" customHeight="1">
      <x:c r="A18" s="11" t="str">
        <x:v>Capital disbursement, following year</x:v>
      </x:c>
      <x:c r="B18" s="31" t="n">
        <x:v>0.5</x:v>
      </x:c>
      <x:c r="C18" s="21" t="str">
        <x:v>Illustrative cash-outlay lag.</x:v>
      </x:c>
      <x:c r="D18" s="17"/>
    </x:row>
    <x:row r="19" ht="43" customHeight="1">
      <x:c r="A19" s="11" t="str">
        <x:v>Capital disbursement, second following year</x:v>
      </x:c>
      <x:c r="B19" s="31" t="n">
        <x:v>0.3</x:v>
      </x:c>
      <x:c r="C19" s="21" t="str">
        <x:v>Illustrative cash-outlay lag.</x:v>
      </x:c>
      <x:c r="D19" s="17"/>
    </x:row>
    <x:row r="20" ht="43" customHeight="1">
      <x:c r="A20" s="11" t="str">
        <x:v>Operating disbursement, award year</x:v>
      </x:c>
      <x:c r="B20" s="31" t="n">
        <x:v>0.9</x:v>
      </x:c>
      <x:c r="C20" s="21" t="str">
        <x:v>Illustrative cash-outlay lag.</x:v>
      </x:c>
      <x:c r="D20" s="17"/>
    </x:row>
    <x:row r="21" ht="43" customHeight="1">
      <x:c r="A21" s="11" t="str">
        <x:v>Operating disbursement, following year</x:v>
      </x:c>
      <x:c r="B21" s="31" t="n">
        <x:v>0.1</x:v>
      </x:c>
      <x:c r="C21" s="21" t="str">
        <x:v>Illustrative cash-outlay lag.</x:v>
      </x:c>
      <x:c r="D21" s="17"/>
    </x:row>
    <x:row r="22" ht="43" customHeight="1">
      <x:c r="A22" s="57" t="str">
        <x:v>Low land-price scenario</x:v>
      </x:c>
      <x:c r="B22" s="61" t="n">
        <x:v>150000</x:v>
      </x:c>
      <x:c r="C22" s="57" t="str">
        <x:v>$/acre. Illustrative appraisal substitute, not a national market statistic.</x:v>
      </x:c>
    </x:row>
    <x:row r="23" ht="43" customHeight="1">
      <x:c r="A23" s="57" t="str">
        <x:v>High land-price scenario</x:v>
      </x:c>
      <x:c r="B23" s="61" t="n">
        <x:v>2000000</x:v>
      </x:c>
      <x:c r="C23" s="57" t="str">
        <x:v>$/acre. Illustrative appraisal substitute, not a national market statistic.</x:v>
      </x:c>
    </x:row>
    <x:row r="24" ht="43" customHeight="1">
      <x:c r="A24" s="57" t="str">
        <x:v>Supportive-housing caseload ceiling</x:v>
      </x:c>
      <x:c r="B24" s="61" t="n">
        <x:v>15</x:v>
      </x:c>
      <x:c r="C24" s="57" t="str">
        <x:v>Proposed statutory maximum households per case manager.</x:v>
      </x:c>
    </x:row>
    <x:row r="25" ht="43" customHeight="1">
      <x:c r="A25" s="57" t="str">
        <x:v>Restoration caseload ceiling</x:v>
      </x:c>
      <x:c r="B25" s="61" t="n">
        <x:v>25</x:v>
      </x:c>
      <x:c r="C25" s="57" t="str">
        <x:v>Proposed statutory maximum households per case manager.</x:v>
      </x:c>
    </x:row>
  </x:sheetData>
  <x:pageMargins left="0.7" right="0.7" top="0.75" bottom="0.75" header="0.3" footer="0.3"/>
  <x:legacyDrawing xmlns:r="http://schemas.openxmlformats.org/officeDocument/2006/relationships" r:id="R172cd2df38054b1f"/>
</x:worksheet>
</file>

<file path=xl/worksheets/sheet3.xml><?xml version="1.0" encoding="utf-8"?>
<x:worksheet xmlns:x="http://schemas.openxmlformats.org/spreadsheetml/2006/main">
  <x:sheetFormatPr defaultRowHeight="15"/>
  <x:cols>
    <x:col min="1" max="1" width="13"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19" hidden="0" customWidth="1"/>
    <x:col min="15" max="15" width="19" hidden="0" customWidth="1"/>
    <x:col min="16" max="16" width="19" hidden="0" customWidth="1"/>
    <x:col min="17" max="17" width="19" hidden="0" customWidth="1"/>
    <x:col min="18" max="18" width="19" hidden="0" customWidth="1"/>
  </x:cols>
  <x:sheetData>
    <x:row r="1" ht="62" customHeight="1">
      <x:c r="A1" s="7" t="str">
        <x:v>Program year</x:v>
      </x:c>
      <x:c r="B1" s="7" t="str">
        <x:v>Capital BA, real</x:v>
      </x:c>
      <x:c r="C1" s="7" t="str">
        <x:v>Operating BA, real</x:v>
      </x:c>
      <x:c r="D1" s="7" t="str">
        <x:v>Total BA, real</x:v>
      </x:c>
      <x:c r="E1" s="7" t="str">
        <x:v>Price index</x:v>
      </x:c>
      <x:c r="F1" s="7" t="str">
        <x:v>Capital BA, nominal</x:v>
      </x:c>
      <x:c r="G1" s="7" t="str">
        <x:v>Operating BA, nominal</x:v>
      </x:c>
      <x:c r="H1" s="7" t="str">
        <x:v>Total BA, nominal</x:v>
      </x:c>
      <x:c r="I1" s="7" t="str">
        <x:v>Cash outlay, nominal</x:v>
      </x:c>
      <x:c r="J1" s="7" t="str">
        <x:v>Cash outlay, real</x:v>
      </x:c>
      <x:c r="K1" s="7" t="str">
        <x:v>Interest, nominal</x:v>
      </x:c>
      <x:c r="L1" s="7" t="str">
        <x:v>Debt, nominal</x:v>
      </x:c>
      <x:c r="M1" s="7" t="str">
        <x:v>Cumulative BA, real</x:v>
      </x:c>
      <x:c r="N1" s="7" t="str">
        <x:v>Cumulative BA, nominal</x:v>
      </x:c>
      <x:c r="O1" s="7" t="str">
        <x:v>Lower-cost BA, real</x:v>
      </x:c>
      <x:c r="P1" s="7" t="str">
        <x:v>Higher-cost BA, real</x:v>
      </x:c>
      <x:c r="Q1" s="7" t="str">
        <x:v>Lower-cost BA, nominal</x:v>
      </x:c>
      <x:c r="R1" s="7" t="str">
        <x:v>Higher-cost BA, nominal</x:v>
      </x:c>
    </x:row>
    <x:row r="2" ht="23" customHeight="1">
      <x:c r="A2" s="11" t="n">
        <x:v>1</x:v>
      </x:c>
      <x:c r="B2" s="23" t="n">
        <x:v>20</x:v>
      </x:c>
      <x:c r="C2" s="23" t="n">
        <x:v>24</x:v>
      </x:c>
      <x:c r="D2" s="24" t="n">
        <x:f>SUM(B2:C2)</x:f>
        <x:v>44</x:v>
      </x:c>
      <x:c r="E2" s="27" t="n">
        <x:f>(1+Inputs!$B$9)^(A2-1)</x:f>
        <x:v>1</x:v>
      </x:c>
      <x:c r="F2" s="24" t="n">
        <x:f>B2*E2</x:f>
        <x:v>20</x:v>
      </x:c>
      <x:c r="G2" s="24" t="n">
        <x:f>C2*E2</x:f>
        <x:v>24</x:v>
      </x:c>
      <x:c r="H2" s="24" t="n">
        <x:f>SUM(F2:G2)</x:f>
        <x:v>44</x:v>
      </x:c>
      <x:c r="I2" s="24" t="n">
        <x:f>F2*Inputs!$B$17+G2*Inputs!$B$20</x:f>
        <x:v>25.6</x:v>
      </x:c>
      <x:c r="J2" s="24" t="n">
        <x:f>I2/E2</x:f>
        <x:v>25.6</x:v>
      </x:c>
      <x:c r="K2" s="24" t="n">
        <x:f>Inputs!$B$10*(0+I2/2)</x:f>
        <x:v>0.512</x:v>
      </x:c>
      <x:c r="L2" s="24" t="n">
        <x:f>0+I2+K2</x:f>
        <x:v>26.112000000000002</x:v>
      </x:c>
      <x:c r="M2" s="24" t="n">
        <x:f>SUM($D$2:D2)</x:f>
        <x:v>44</x:v>
      </x:c>
      <x:c r="N2" s="24" t="n">
        <x:f>SUM($H$2:H2)</x:f>
        <x:v>44</x:v>
      </x:c>
      <x:c r="O2" s="24" t="n">
        <x:f>B2*Inputs!$B$13+C2*Inputs!$B$14</x:f>
        <x:v>36.4</x:v>
      </x:c>
      <x:c r="P2" s="24" t="n">
        <x:f>B2*Inputs!$B$15+C2*Inputs!$B$16</x:f>
        <x:v>57</x:v>
      </x:c>
      <x:c r="Q2" s="24" t="n">
        <x:f>O2*E2</x:f>
        <x:v>36.4</x:v>
      </x:c>
      <x:c r="R2" s="24" t="n">
        <x:f>P2*E2</x:f>
        <x:v>57</x:v>
      </x:c>
    </x:row>
    <x:row r="3" ht="23" customHeight="1">
      <x:c r="A3" s="11" t="n">
        <x:v>2</x:v>
      </x:c>
      <x:c r="B3" s="23" t="n">
        <x:v>30</x:v>
      </x:c>
      <x:c r="C3" s="23" t="n">
        <x:v>32</x:v>
      </x:c>
      <x:c r="D3" s="24" t="n">
        <x:f>SUM(B3:C3)</x:f>
        <x:v>62</x:v>
      </x:c>
      <x:c r="E3" s="27" t="n">
        <x:f>(1+Inputs!$B$9)^(A3-1)</x:f>
        <x:v>1.025</x:v>
      </x:c>
      <x:c r="F3" s="24" t="n">
        <x:f>B3*E3</x:f>
        <x:v>30.749999999999996</x:v>
      </x:c>
      <x:c r="G3" s="24" t="n">
        <x:f>C3*E3</x:f>
        <x:v>32.8</x:v>
      </x:c>
      <x:c r="H3" s="24" t="n">
        <x:f>SUM(F3:G3)</x:f>
        <x:v>63.55</x:v>
      </x:c>
      <x:c r="I3" s="24" t="n">
        <x:f>F3*Inputs!$B$17+F2*Inputs!$B$18+G3*Inputs!$B$20+G2*Inputs!$B$21</x:f>
        <x:v>48.07</x:v>
      </x:c>
      <x:c r="J3" s="24" t="n">
        <x:f>I3/E3</x:f>
        <x:v>46.89756097560976</x:v>
      </x:c>
      <x:c r="K3" s="24" t="n">
        <x:f>Inputs!$B$10*(L2+I3/2)</x:f>
        <x:v>2.0058800000000003</x:v>
      </x:c>
      <x:c r="L3" s="24" t="n">
        <x:f>L2+I3+K3</x:f>
        <x:v>76.18788</x:v>
      </x:c>
      <x:c r="M3" s="24" t="n">
        <x:f>SUM($D$2:D3)</x:f>
        <x:v>106</x:v>
      </x:c>
      <x:c r="N3" s="24" t="n">
        <x:f>SUM($H$2:H3)</x:f>
        <x:v>107.55</x:v>
      </x:c>
      <x:c r="O3" s="24" t="n">
        <x:f>B3*Inputs!$B$13+C3*Inputs!$B$14</x:f>
        <x:v>51.2</x:v>
      </x:c>
      <x:c r="P3" s="24" t="n">
        <x:f>B3*Inputs!$B$15+C3*Inputs!$B$16</x:f>
        <x:v>80.5</x:v>
      </x:c>
      <x:c r="Q3" s="24" t="n">
        <x:f>O3*E3</x:f>
        <x:v>52.48</x:v>
      </x:c>
      <x:c r="R3" s="24" t="n">
        <x:f>P3*E3</x:f>
        <x:v>82.51249999999999</x:v>
      </x:c>
    </x:row>
    <x:row r="4" ht="23" customHeight="1">
      <x:c r="A4" s="11" t="n">
        <x:v>3</x:v>
      </x:c>
      <x:c r="B4" s="23" t="n">
        <x:v>40</x:v>
      </x:c>
      <x:c r="C4" s="23" t="n">
        <x:v>40</x:v>
      </x:c>
      <x:c r="D4" s="24" t="n">
        <x:f>SUM(B4:C4)</x:f>
        <x:v>80</x:v>
      </x:c>
      <x:c r="E4" s="27" t="n">
        <x:f>(1+Inputs!$B$9)^(A4-1)</x:f>
        <x:v>1.050625</x:v>
      </x:c>
      <x:c r="F4" s="24" t="n">
        <x:f>B4*E4</x:f>
        <x:v>42.025</x:v>
      </x:c>
      <x:c r="G4" s="24" t="n">
        <x:f>C4*E4</x:f>
        <x:v>42.025</x:v>
      </x:c>
      <x:c r="H4" s="24" t="n">
        <x:f>SUM(F4:G4)</x:f>
        <x:v>84.05</x:v>
      </x:c>
      <x:c r="I4" s="24" t="n">
        <x:f>F4*Inputs!$B$17+F3*Inputs!$B$18+F2*Inputs!$B$19+G4*Inputs!$B$20+G3*Inputs!$B$21</x:f>
        <x:v>70.8825</x:v>
      </x:c>
      <x:c r="J4" s="24" t="n">
        <x:f>I4/E4</x:f>
        <x:v>67.46698393813206</x:v>
      </x:c>
      <x:c r="K4" s="24" t="n">
        <x:f>Inputs!$B$10*(L3+I4/2)</x:f>
        <x:v>4.4651652</x:v>
      </x:c>
      <x:c r="L4" s="24" t="n">
        <x:f>L3+I4+K4</x:f>
        <x:v>151.5355452</x:v>
      </x:c>
      <x:c r="M4" s="24" t="n">
        <x:f>SUM($D$2:D4)</x:f>
        <x:v>186</x:v>
      </x:c>
      <x:c r="N4" s="24" t="n">
        <x:f>SUM($H$2:H4)</x:f>
        <x:v>191.6</x:v>
      </x:c>
      <x:c r="O4" s="24" t="n">
        <x:f>B4*Inputs!$B$13+C4*Inputs!$B$14</x:f>
        <x:v>66</x:v>
      </x:c>
      <x:c r="P4" s="24" t="n">
        <x:f>B4*Inputs!$B$15+C4*Inputs!$B$16</x:f>
        <x:v>104</x:v>
      </x:c>
      <x:c r="Q4" s="24" t="n">
        <x:f>O4*E4</x:f>
        <x:v>69.34124999999999</x:v>
      </x:c>
      <x:c r="R4" s="24" t="n">
        <x:f>P4*E4</x:f>
        <x:v>109.26499999999999</x:v>
      </x:c>
    </x:row>
    <x:row r="5" ht="23" customHeight="1">
      <x:c r="A5" s="11" t="n">
        <x:v>4</x:v>
      </x:c>
      <x:c r="B5" s="23" t="n">
        <x:v>40</x:v>
      </x:c>
      <x:c r="C5" s="23" t="n">
        <x:v>48</x:v>
      </x:c>
      <x:c r="D5" s="24" t="n">
        <x:f>SUM(B5:C5)</x:f>
        <x:v>88</x:v>
      </x:c>
      <x:c r="E5" s="27" t="n">
        <x:f>(1+Inputs!$B$9)^(A5-1)</x:f>
        <x:v>1.0768906249999999</x:v>
      </x:c>
      <x:c r="F5" s="24" t="n">
        <x:f>B5*E5</x:f>
        <x:v>43.075624999999995</x:v>
      </x:c>
      <x:c r="G5" s="24" t="n">
        <x:f>C5*E5</x:f>
        <x:v>51.690749999999994</x:v>
      </x:c>
      <x:c r="H5" s="24" t="n">
        <x:f>SUM(F5:G5)</x:f>
        <x:v>94.76637499999998</x:v>
      </x:c>
      <x:c r="I5" s="24" t="n">
        <x:f>F5*Inputs!$B$17+F4*Inputs!$B$18+F3*Inputs!$B$19+G5*Inputs!$B$20+G4*Inputs!$B$21</x:f>
        <x:v>89.57679999999999</x:v>
      </x:c>
      <x:c r="J5" s="24" t="n">
        <x:f>I5/E5</x:f>
        <x:v>83.18096371207615</x:v>
      </x:c>
      <x:c r="K5" s="24" t="n">
        <x:f>Inputs!$B$10*(L4+I5/2)</x:f>
        <x:v>7.852957808</x:v>
      </x:c>
      <x:c r="L5" s="24" t="n">
        <x:f>L4+I5+K5</x:f>
        <x:v>248.965303008</x:v>
      </x:c>
      <x:c r="M5" s="24" t="n">
        <x:f>SUM($D$2:D5)</x:f>
        <x:v>274</x:v>
      </x:c>
      <x:c r="N5" s="24" t="n">
        <x:f>SUM($H$2:H5)</x:f>
        <x:v>286.36637499999995</x:v>
      </x:c>
      <x:c r="O5" s="24" t="n">
        <x:f>B5*Inputs!$B$13+C5*Inputs!$B$14</x:f>
        <x:v>72.8</x:v>
      </x:c>
      <x:c r="P5" s="24" t="n">
        <x:f>B5*Inputs!$B$15+C5*Inputs!$B$16</x:f>
        <x:v>114</x:v>
      </x:c>
      <x:c r="Q5" s="24" t="n">
        <x:f>O5*E5</x:f>
        <x:v>78.39763749999999</x:v>
      </x:c>
      <x:c r="R5" s="24" t="n">
        <x:f>P5*E5</x:f>
        <x:v>122.76553124999998</x:v>
      </x:c>
    </x:row>
    <x:row r="6" ht="23" customHeight="1">
      <x:c r="A6" s="11" t="n">
        <x:v>5</x:v>
      </x:c>
      <x:c r="B6" s="23" t="n">
        <x:v>35</x:v>
      </x:c>
      <x:c r="C6" s="23" t="n">
        <x:v>54</x:v>
      </x:c>
      <x:c r="D6" s="24" t="n">
        <x:f>SUM(B6:C6)</x:f>
        <x:v>89</x:v>
      </x:c>
      <x:c r="E6" s="27" t="n">
        <x:f>(1+Inputs!$B$9)^(A6-1)</x:f>
        <x:v>1.1038128906249998</x:v>
      </x:c>
      <x:c r="F6" s="24" t="n">
        <x:f>B6*E6</x:f>
        <x:v>38.633451171874995</x:v>
      </x:c>
      <x:c r="G6" s="24" t="n">
        <x:f>C6*E6</x:f>
        <x:v>59.60589609374999</x:v>
      </x:c>
      <x:c r="H6" s="24" t="n">
        <x:f>SUM(F6:G6)</x:f>
        <x:v>98.23934726562499</x:v>
      </x:c>
      <x:c r="I6" s="24" t="n">
        <x:f>F6*Inputs!$B$17+F5*Inputs!$B$18+F4*Inputs!$B$19+G6*Inputs!$B$20+G5*Inputs!$B$21</x:f>
        <x:v>100.68638421874999</x:v>
      </x:c>
      <x:c r="J6" s="24" t="n">
        <x:f>I6/E6</x:f>
        <x:v>91.21689470553244</x:v>
      </x:c>
      <x:c r="K6" s="24" t="n">
        <x:f>Inputs!$B$10*(L5+I6/2)</x:f>
        <x:v>11.972339804695</x:v>
      </x:c>
      <x:c r="L6" s="24" t="n">
        <x:f>L5+I6+K6</x:f>
        <x:v>361.62402703144505</x:v>
      </x:c>
      <x:c r="M6" s="24" t="n">
        <x:f>SUM($D$2:D6)</x:f>
        <x:v>363</x:v>
      </x:c>
      <x:c r="N6" s="24" t="n">
        <x:f>SUM($H$2:H6)</x:f>
        <x:v>384.60572226562493</x:v>
      </x:c>
      <x:c r="O6" s="24" t="n">
        <x:f>B6*Inputs!$B$13+C6*Inputs!$B$14</x:f>
        <x:v>73.9</x:v>
      </x:c>
      <x:c r="P6" s="24" t="n">
        <x:f>B6*Inputs!$B$15+C6*Inputs!$B$16</x:f>
        <x:v>114.75</x:v>
      </x:c>
      <x:c r="Q6" s="24" t="n">
        <x:f>O6*E6</x:f>
        <x:v>81.57177261718749</x:v>
      </x:c>
      <x:c r="R6" s="24" t="n">
        <x:f>P6*E6</x:f>
        <x:v>126.66252919921872</x:v>
      </x:c>
    </x:row>
    <x:row r="7" ht="23" customHeight="1">
      <x:c r="A7" s="11" t="n">
        <x:v>6</x:v>
      </x:c>
      <x:c r="B7" s="23" t="n">
        <x:v>30</x:v>
      </x:c>
      <x:c r="C7" s="23" t="n">
        <x:v>58</x:v>
      </x:c>
      <x:c r="D7" s="24" t="n">
        <x:f>SUM(B7:C7)</x:f>
        <x:v>88</x:v>
      </x:c>
      <x:c r="E7" s="27" t="n">
        <x:f>(1+Inputs!$B$9)^(A7-1)</x:f>
        <x:v>1.1314082128906247</x:v>
      </x:c>
      <x:c r="F7" s="24" t="n">
        <x:f>B7*E7</x:f>
        <x:v>33.942246386718736</x:v>
      </x:c>
      <x:c r="G7" s="24" t="n">
        <x:f>C7*E7</x:f>
        <x:v>65.62167634765623</x:v>
      </x:c>
      <x:c r="H7" s="24" t="n">
        <x:f>SUM(F7:G7)</x:f>
        <x:v>99.56392273437497</x:v>
      </x:c>
      <x:c r="I7" s="24" t="n">
        <x:f>F7*Inputs!$B$17+F6*Inputs!$B$18+F5*Inputs!$B$19+G7*Inputs!$B$20+G6*Inputs!$B$21</x:f>
        <x:v>104.04796068554685</x:v>
      </x:c>
      <x:c r="J7" s="24" t="n">
        <x:f>I7/E7</x:f>
        <x:v>91.96323616894706</x:v>
      </x:c>
      <x:c r="K7" s="24" t="n">
        <x:f>Inputs!$B$10*(L6+I7/2)</x:f>
        <x:v>16.545920294968738</x:v>
      </x:c>
      <x:c r="L7" s="24" t="n">
        <x:f>L6+I7+K7</x:f>
        <x:v>482.2179080119606</x:v>
      </x:c>
      <x:c r="M7" s="24" t="n">
        <x:f>SUM($D$2:D7)</x:f>
        <x:v>451</x:v>
      </x:c>
      <x:c r="N7" s="24" t="n">
        <x:f>SUM($H$2:H7)</x:f>
        <x:v>484.1696449999999</x:v>
      </x:c>
      <x:c r="O7" s="24" t="n">
        <x:f>B7*Inputs!$B$13+C7*Inputs!$B$14</x:f>
        <x:v>73.3</x:v>
      </x:c>
      <x:c r="P7" s="24" t="n">
        <x:f>B7*Inputs!$B$15+C7*Inputs!$B$16</x:f>
        <x:v>113</x:v>
      </x:c>
      <x:c r="Q7" s="24" t="n">
        <x:f>O7*E7</x:f>
        <x:v>82.93222200488279</x:v>
      </x:c>
      <x:c r="R7" s="24" t="n">
        <x:f>P7*E7</x:f>
        <x:v>127.84912805664058</x:v>
      </x:c>
    </x:row>
    <x:row r="8" ht="23" customHeight="1">
      <x:c r="A8" s="11" t="n">
        <x:v>7</x:v>
      </x:c>
      <x:c r="B8" s="23" t="n">
        <x:v>25</x:v>
      </x:c>
      <x:c r="C8" s="23" t="n">
        <x:v>60</x:v>
      </x:c>
      <x:c r="D8" s="24" t="n">
        <x:f>SUM(B8:C8)</x:f>
        <x:v>85</x:v>
      </x:c>
      <x:c r="E8" s="27" t="n">
        <x:f>(1+Inputs!$B$9)^(A8-1)</x:f>
        <x:v>1.1596934182128902</x:v>
      </x:c>
      <x:c r="F8" s="24" t="n">
        <x:f>B8*E8</x:f>
        <x:v>28.992335455322255</x:v>
      </x:c>
      <x:c r="G8" s="24" t="n">
        <x:f>C8*E8</x:f>
        <x:v>69.58160509277342</x:v>
      </x:c>
      <x:c r="H8" s="24" t="n">
        <x:f>SUM(F8:G8)</x:f>
        <x:v>98.57394054809566</x:v>
      </x:c>
      <x:c r="I8" s="24" t="n">
        <x:f>F8*Inputs!$B$17+F7*Inputs!$B$18+F6*Inputs!$B$19+G8*Inputs!$B$20+G7*Inputs!$B$21</x:f>
        <x:v>103.54523785424801</x:v>
      </x:c>
      <x:c r="J8" s="24" t="n">
        <x:f>I8/E8</x:f>
        <x:v>89.28673408685307</x:v>
      </x:c>
      <x:c r="K8" s="24" t="n">
        <x:f>Inputs!$B$10*(L7+I8/2)</x:f>
        <x:v>21.359621077563386</x:v>
      </x:c>
      <x:c r="L8" s="24" t="n">
        <x:f>L7+I8+K8</x:f>
        <x:v>607.122766943772</x:v>
      </x:c>
      <x:c r="M8" s="24" t="n">
        <x:f>SUM($D$2:D8)</x:f>
        <x:v>536</x:v>
      </x:c>
      <x:c r="N8" s="24" t="n">
        <x:f>SUM($H$2:H8)</x:f>
        <x:v>582.7435855480956</x:v>
      </x:c>
      <x:c r="O8" s="24" t="n">
        <x:f>B8*Inputs!$B$13+C8*Inputs!$B$14</x:f>
        <x:v>71</x:v>
      </x:c>
      <x:c r="P8" s="24" t="n">
        <x:f>B8*Inputs!$B$15+C8*Inputs!$B$16</x:f>
        <x:v>108.75</x:v>
      </x:c>
      <x:c r="Q8" s="24" t="n">
        <x:f>O8*E8</x:f>
        <x:v>82.3382326931152</x:v>
      </x:c>
      <x:c r="R8" s="24" t="n">
        <x:f>P8*E8</x:f>
        <x:v>126.1166592306518</x:v>
      </x:c>
    </x:row>
    <x:row r="9" ht="23" customHeight="1">
      <x:c r="A9" s="11" t="n">
        <x:v>8</x:v>
      </x:c>
      <x:c r="B9" s="23" t="n">
        <x:v>20</x:v>
      </x:c>
      <x:c r="C9" s="23" t="n">
        <x:v>60</x:v>
      </x:c>
      <x:c r="D9" s="24" t="n">
        <x:f>SUM(B9:C9)</x:f>
        <x:v>80</x:v>
      </x:c>
      <x:c r="E9" s="27" t="n">
        <x:f>(1+Inputs!$B$9)^(A9-1)</x:f>
        <x:v>1.1886857536682125</x:v>
      </x:c>
      <x:c r="F9" s="24" t="n">
        <x:f>B9*E9</x:f>
        <x:v>23.77371507336425</x:v>
      </x:c>
      <x:c r="G9" s="24" t="n">
        <x:f>C9*E9</x:f>
        <x:v>71.32114522009275</x:v>
      </x:c>
      <x:c r="H9" s="24" t="n">
        <x:f>SUM(F9:G9)</x:f>
        <x:v>95.094860293457</x:v>
      </x:c>
      <x:c r="I9" s="24" t="n">
        <x:f>F9*Inputs!$B$17+F8*Inputs!$B$18+F7*Inputs!$B$19+G9*Inputs!$B$20+G8*Inputs!$B$21</x:f>
        <x:v>100.58077586571042</x:v>
      </x:c>
      <x:c r="J9" s="24" t="n">
        <x:f>I9/E9</x:f>
        <x:v>84.61511005353957</x:v>
      </x:c>
      <x:c r="K9" s="24" t="n">
        <x:f>Inputs!$B$10*(L8+I9/2)</x:f>
        <x:v>26.29652619506509</x:v>
      </x:c>
      <x:c r="L9" s="24" t="n">
        <x:f>L8+I9+K9</x:f>
        <x:v>734.0000690045475</x:v>
      </x:c>
      <x:c r="M9" s="24" t="n">
        <x:f>SUM($D$2:D9)</x:f>
        <x:v>616</x:v>
      </x:c>
      <x:c r="N9" s="24" t="n">
        <x:f>SUM($H$2:H9)</x:f>
        <x:v>677.8384458415526</x:v>
      </x:c>
      <x:c r="O9" s="24" t="n">
        <x:f>B9*Inputs!$B$13+C9*Inputs!$B$14</x:f>
        <x:v>67</x:v>
      </x:c>
      <x:c r="P9" s="24" t="n">
        <x:f>B9*Inputs!$B$15+C9*Inputs!$B$16</x:f>
        <x:v>102</x:v>
      </x:c>
      <x:c r="Q9" s="24" t="n">
        <x:f>O9*E9</x:f>
        <x:v>79.64194549577024</x:v>
      </x:c>
      <x:c r="R9" s="24" t="n">
        <x:f>P9*E9</x:f>
        <x:v>121.24594687415768</x:v>
      </x:c>
    </x:row>
    <x:row r="10" ht="23" customHeight="1">
      <x:c r="A10" s="11" t="n">
        <x:v>9</x:v>
      </x:c>
      <x:c r="B10" s="23" t="n">
        <x:v>5</x:v>
      </x:c>
      <x:c r="C10" s="23" t="n">
        <x:v>60</x:v>
      </x:c>
      <x:c r="D10" s="24" t="n">
        <x:f>SUM(B10:C10)</x:f>
        <x:v>65</x:v>
      </x:c>
      <x:c r="E10" s="27" t="n">
        <x:f>(1+Inputs!$B$9)^(A10-1)</x:f>
        <x:v>1.2184028975099177</x:v>
      </x:c>
      <x:c r="F10" s="24" t="n">
        <x:f>B10*E10</x:f>
        <x:v>6.092014487549589</x:v>
      </x:c>
      <x:c r="G10" s="24" t="n">
        <x:f>C10*E10</x:f>
        <x:v>73.10417385059506</x:v>
      </x:c>
      <x:c r="H10" s="24" t="n">
        <x:f>SUM(F10:G10)</x:f>
        <x:v>79.19618833814465</x:v>
      </x:c>
      <x:c r="I10" s="24" t="n">
        <x:f>F10*Inputs!$B$17+F9*Inputs!$B$18+F8*Inputs!$B$19+G10*Inputs!$B$20+G9*Inputs!$B$21</x:f>
        <x:v>94.72883205833354</x:v>
      </x:c>
      <x:c r="J10" s="24" t="n">
        <x:f>I10/E10</x:f>
        <x:v>77.74836406900654</x:v>
      </x:c>
      <x:c r="K10" s="24" t="n">
        <x:f>Inputs!$B$10*(L9+I10/2)</x:f>
        <x:v>31.254579401348575</x:v>
      </x:c>
      <x:c r="L10" s="24" t="n">
        <x:f>L9+I10+K10</x:f>
        <x:v>859.9834804642296</x:v>
      </x:c>
      <x:c r="M10" s="24" t="n">
        <x:f>SUM($D$2:D10)</x:f>
        <x:v>681</x:v>
      </x:c>
      <x:c r="N10" s="24" t="n">
        <x:f>SUM($H$2:H10)</x:f>
        <x:v>757.0346341796973</x:v>
      </x:c>
      <x:c r="O10" s="24" t="n">
        <x:f>B10*Inputs!$B$13+C10*Inputs!$B$14</x:f>
        <x:v>55</x:v>
      </x:c>
      <x:c r="P10" s="24" t="n">
        <x:f>B10*Inputs!$B$15+C10*Inputs!$B$16</x:f>
        <x:v>81.75</x:v>
      </x:c>
      <x:c r="Q10" s="24" t="n">
        <x:f>O10*E10</x:f>
        <x:v>67.01215936304547</x:v>
      </x:c>
      <x:c r="R10" s="24" t="n">
        <x:f>P10*E10</x:f>
        <x:v>99.60443687143577</x:v>
      </x:c>
    </x:row>
    <x:row r="11" ht="23" customHeight="1">
      <x:c r="A11" s="11" t="n">
        <x:v>10</x:v>
      </x:c>
      <x:c r="B11" s="23" t="n">
        <x:v>5</x:v>
      </x:c>
      <x:c r="C11" s="23" t="n">
        <x:v>60</x:v>
      </x:c>
      <x:c r="D11" s="24" t="n">
        <x:f>SUM(B11:C11)</x:f>
        <x:v>65</x:v>
      </x:c>
      <x:c r="E11" s="27" t="n">
        <x:f>(1+Inputs!$B$9)^(A11-1)</x:f>
        <x:v>1.2488629699476654</x:v>
      </x:c>
      <x:c r="F11" s="24" t="n">
        <x:f>B11*E11</x:f>
        <x:v>6.244314849738327</x:v>
      </x:c>
      <x:c r="G11" s="24" t="n">
        <x:f>C11*E11</x:f>
        <x:v>74.93177819685992</x:v>
      </x:c>
      <x:c r="H11" s="24" t="n">
        <x:f>SUM(F11:G11)</x:f>
        <x:v>81.17609304659825</x:v>
      </x:c>
      <x:c r="I11" s="24" t="n">
        <x:f>F11*Inputs!$B$17+F10*Inputs!$B$18+F9*Inputs!$B$19+G11*Inputs!$B$20+G10*Inputs!$B$21</x:f>
        <x:v>86.17600249796517</x:v>
      </x:c>
      <x:c r="J11" s="24" t="n">
        <x:f>I11/E11</x:f>
        <x:v>69.00356930398573</x:v>
      </x:c>
      <x:c r="K11" s="24" t="n">
        <x:f>Inputs!$B$10*(L10+I11/2)</x:f>
        <x:v>36.12285926852849</x:v>
      </x:c>
      <x:c r="L11" s="24" t="n">
        <x:f>L10+I11+K11</x:f>
        <x:v>982.2823422307233</x:v>
      </x:c>
      <x:c r="M11" s="24" t="n">
        <x:f>SUM($D$2:D11)</x:f>
        <x:v>746</x:v>
      </x:c>
      <x:c r="N11" s="24" t="n">
        <x:f>SUM($H$2:H11)</x:f>
        <x:v>838.2107272262955</x:v>
      </x:c>
      <x:c r="O11" s="24" t="n">
        <x:f>B11*Inputs!$B$13+C11*Inputs!$B$14</x:f>
        <x:v>55</x:v>
      </x:c>
      <x:c r="P11" s="24" t="n">
        <x:f>B11*Inputs!$B$15+C11*Inputs!$B$16</x:f>
        <x:v>81.75</x:v>
      </x:c>
      <x:c r="Q11" s="24" t="n">
        <x:f>O11*E11</x:f>
        <x:v>68.6874633471216</x:v>
      </x:c>
      <x:c r="R11" s="24" t="n">
        <x:f>P11*E11</x:f>
        <x:v>102.09454779322165</x:v>
      </x:c>
    </x:row>
    <x:row r="12" ht="23" customHeight="1">
      <x:c r="A12" s="11" t="n">
        <x:v>11</x:v>
      </x:c>
      <x:c r="B12" s="23" t="n">
        <x:v>5</x:v>
      </x:c>
      <x:c r="C12" s="23" t="n">
        <x:v>60</x:v>
      </x:c>
      <x:c r="D12" s="24" t="n">
        <x:f>SUM(B12:C12)</x:f>
        <x:v>65</x:v>
      </x:c>
      <x:c r="E12" s="27" t="n">
        <x:f>(1+Inputs!$B$9)^(A12-1)</x:f>
        <x:v>1.280084544196357</x:v>
      </x:c>
      <x:c r="F12" s="24" t="n">
        <x:f>B12*E12</x:f>
        <x:v>6.400422720981785</x:v>
      </x:c>
      <x:c r="G12" s="24" t="n">
        <x:f>C12*E12</x:f>
        <x:v>76.80507265178143</x:v>
      </x:c>
      <x:c r="H12" s="24" t="n">
        <x:f>SUM(F12:G12)</x:f>
        <x:v>83.20549537276321</x:v>
      </x:c>
      <x:c r="I12" s="24" t="n">
        <x:f>F12*Inputs!$B$17+F11*Inputs!$B$18+F10*Inputs!$B$19+G12*Inputs!$B$20+G11*Inputs!$B$21</x:f>
        <x:v>82.84758952161968</x:v>
      </x:c>
      <x:c r="J12" s="24" t="n">
        <x:f>I12/E12</x:f>
        <x:v>64.72040452111838</x:v>
      </x:c>
      <x:c r="K12" s="24" t="n">
        <x:f>Inputs!$B$10*(L11+I12/2)</x:f>
        <x:v>40.94824547966133</x:v>
      </x:c>
      <x:c r="L12" s="24" t="n">
        <x:f>L11+I12+K12</x:f>
        <x:v>1106.0781772320045</x:v>
      </x:c>
      <x:c r="M12" s="24" t="n">
        <x:f>SUM($D$2:D12)</x:f>
        <x:v>811</x:v>
      </x:c>
      <x:c r="N12" s="24" t="n">
        <x:f>SUM($H$2:H12)</x:f>
        <x:v>921.4162225990588</x:v>
      </x:c>
      <x:c r="O12" s="24" t="n">
        <x:f>B12*Inputs!$B$13+C12*Inputs!$B$14</x:f>
        <x:v>55</x:v>
      </x:c>
      <x:c r="P12" s="24" t="n">
        <x:f>B12*Inputs!$B$15+C12*Inputs!$B$16</x:f>
        <x:v>81.75</x:v>
      </x:c>
      <x:c r="Q12" s="24" t="n">
        <x:f>O12*E12</x:f>
        <x:v>70.40464993079964</x:v>
      </x:c>
      <x:c r="R12" s="24" t="n">
        <x:f>P12*E12</x:f>
        <x:v>104.6469114880522</x:v>
      </x:c>
    </x:row>
    <x:row r="13" ht="23" customHeight="1">
      <x:c r="A13" s="11" t="n">
        <x:v>12</x:v>
      </x:c>
      <x:c r="B13" s="23" t="n">
        <x:v>5</x:v>
      </x:c>
      <x:c r="C13" s="23" t="n">
        <x:v>60</x:v>
      </x:c>
      <x:c r="D13" s="24" t="n">
        <x:f>SUM(B13:C13)</x:f>
        <x:v>65</x:v>
      </x:c>
      <x:c r="E13" s="27" t="n">
        <x:f>(1+Inputs!$B$9)^(A13-1)</x:f>
        <x:v>1.312086657801266</x:v>
      </x:c>
      <x:c r="F13" s="24" t="n">
        <x:f>B13*E13</x:f>
        <x:v>6.56043328900633</x:v>
      </x:c>
      <x:c r="G13" s="24" t="n">
        <x:f>C13*E13</x:f>
        <x:v>78.72519946807596</x:v>
      </x:c>
      <x:c r="H13" s="24" t="n">
        <x:f>SUM(F13:G13)</x:f>
        <x:v>85.28563275708228</x:v>
      </x:c>
      <x:c r="I13" s="24" t="n">
        <x:f>F13*Inputs!$B$17+F12*Inputs!$B$18+F11*Inputs!$B$19+G13*Inputs!$B$20+G12*Inputs!$B$21</x:f>
        <x:v>84.91877925966017</x:v>
      </x:c>
      <x:c r="J13" s="24" t="n">
        <x:f>I13/E13</x:f>
        <x:v>64.72040452111838</x:v>
      </x:c>
      <x:c r="K13" s="24" t="n">
        <x:f>Inputs!$B$10*(L12+I13/2)</x:f>
        <x:v>45.941502674473384</x:v>
      </x:c>
      <x:c r="L13" s="24" t="n">
        <x:f>L12+I13+K13</x:f>
        <x:v>1236.938459166138</x:v>
      </x:c>
      <x:c r="M13" s="24" t="n">
        <x:f>SUM($D$2:D13)</x:f>
        <x:v>876</x:v>
      </x:c>
      <x:c r="N13" s="24" t="n">
        <x:f>SUM($H$2:H13)</x:f>
        <x:v>1006.7018553561411</x:v>
      </x:c>
      <x:c r="O13" s="24" t="n">
        <x:f>B13*Inputs!$B$13+C13*Inputs!$B$14</x:f>
        <x:v>55</x:v>
      </x:c>
      <x:c r="P13" s="24" t="n">
        <x:f>B13*Inputs!$B$15+C13*Inputs!$B$16</x:f>
        <x:v>81.75</x:v>
      </x:c>
      <x:c r="Q13" s="24" t="n">
        <x:f>O13*E13</x:f>
        <x:v>72.16476617906963</x:v>
      </x:c>
      <x:c r="R13" s="24" t="n">
        <x:f>P13*E13</x:f>
        <x:v>107.26308427525349</x:v>
      </x:c>
    </x:row>
    <x:row r="14" ht="23" customHeight="1">
      <x:c r="A14" s="11" t="n">
        <x:v>13</x:v>
      </x:c>
      <x:c r="B14" s="23" t="n">
        <x:v>5</x:v>
      </x:c>
      <x:c r="C14" s="23" t="n">
        <x:v>60</x:v>
      </x:c>
      <x:c r="D14" s="24" t="n">
        <x:f>SUM(B14:C14)</x:f>
        <x:v>65</x:v>
      </x:c>
      <x:c r="E14" s="27" t="n">
        <x:f>(1+Inputs!$B$9)^(A14-1)</x:f>
        <x:v>1.3448888242462975</x:v>
      </x:c>
      <x:c r="F14" s="24" t="n">
        <x:f>B14*E14</x:f>
        <x:v>6.724444121231487</x:v>
      </x:c>
      <x:c r="G14" s="24" t="n">
        <x:f>C14*E14</x:f>
        <x:v>80.69332945477785</x:v>
      </x:c>
      <x:c r="H14" s="24" t="n">
        <x:f>SUM(F14:G14)</x:f>
        <x:v>87.41777357600934</x:v>
      </x:c>
      <x:c r="I14" s="24" t="n">
        <x:f>F14*Inputs!$B$17+F13*Inputs!$B$18+F12*Inputs!$B$19+G14*Inputs!$B$20+G13*Inputs!$B$21</x:f>
        <x:v>87.04174874115166</x:v>
      </x:c>
      <x:c r="J14" s="24" t="n">
        <x:f>I14/E14</x:f>
        <x:v>64.72040452111838</x:v>
      </x:c>
      <x:c r="K14" s="24" t="n">
        <x:f>Inputs!$B$10*(L13+I14/2)</x:f>
        <x:v>51.21837334146856</x:v>
      </x:c>
      <x:c r="L14" s="24" t="n">
        <x:f>L13+I14+K14</x:f>
        <x:v>1375.1985812487583</x:v>
      </x:c>
      <x:c r="M14" s="24" t="n">
        <x:f>SUM($D$2:D14)</x:f>
        <x:v>941</x:v>
      </x:c>
      <x:c r="N14" s="24" t="n">
        <x:f>SUM($H$2:H14)</x:f>
        <x:v>1094.1196289321504</x:v>
      </x:c>
      <x:c r="O14" s="24" t="n">
        <x:f>B14*Inputs!$B$13+C14*Inputs!$B$14</x:f>
        <x:v>55</x:v>
      </x:c>
      <x:c r="P14" s="24" t="n">
        <x:f>B14*Inputs!$B$15+C14*Inputs!$B$16</x:f>
        <x:v>81.75</x:v>
      </x:c>
      <x:c r="Q14" s="24" t="n">
        <x:f>O14*E14</x:f>
        <x:v>73.96888533354637</x:v>
      </x:c>
      <x:c r="R14" s="24" t="n">
        <x:f>P14*E14</x:f>
        <x:v>109.94466138213483</x:v>
      </x:c>
    </x:row>
    <x:row r="15" ht="23" customHeight="1">
      <x:c r="A15" s="11" t="n">
        <x:v>14</x:v>
      </x:c>
      <x:c r="B15" s="23" t="n">
        <x:v>5</x:v>
      </x:c>
      <x:c r="C15" s="23" t="n">
        <x:v>60</x:v>
      </x:c>
      <x:c r="D15" s="24" t="n">
        <x:f>SUM(B15:C15)</x:f>
        <x:v>65</x:v>
      </x:c>
      <x:c r="E15" s="27" t="n">
        <x:f>(1+Inputs!$B$9)^(A15-1)</x:f>
        <x:v>1.378511044852455</x:v>
      </x:c>
      <x:c r="F15" s="24" t="n">
        <x:f>B15*E15</x:f>
        <x:v>6.892555224262274</x:v>
      </x:c>
      <x:c r="G15" s="24" t="n">
        <x:f>C15*E15</x:f>
        <x:v>82.71066269114729</x:v>
      </x:c>
      <x:c r="H15" s="24" t="n">
        <x:f>SUM(F15:G15)</x:f>
        <x:v>89.60321791540957</x:v>
      </x:c>
      <x:c r="I15" s="24" t="n">
        <x:f>F15*Inputs!$B$17+F14*Inputs!$B$18+F13*Inputs!$B$19+G15*Inputs!$B$20+G14*Inputs!$B$21</x:f>
        <x:v>89.21779245968044</x:v>
      </x:c>
      <x:c r="J15" s="24" t="n">
        <x:f>I15/E15</x:f>
        <x:v>64.72040452111838</x:v>
      </x:c>
      <x:c r="K15" s="24" t="n">
        <x:f>Inputs!$B$10*(L14+I15/2)</x:f>
        <x:v>56.79229909914394</x:v>
      </x:c>
      <x:c r="L15" s="24" t="n">
        <x:f>L14+I15+K15</x:f>
        <x:v>1521.2086728075826</x:v>
      </x:c>
      <x:c r="M15" s="24" t="n">
        <x:f>SUM($D$2:D15)</x:f>
        <x:v>1006</x:v>
      </x:c>
      <x:c r="N15" s="24" t="n">
        <x:f>SUM($H$2:H15)</x:f>
        <x:v>1183.72284684756</x:v>
      </x:c>
      <x:c r="O15" s="24" t="n">
        <x:f>B15*Inputs!$B$13+C15*Inputs!$B$14</x:f>
        <x:v>55</x:v>
      </x:c>
      <x:c r="P15" s="24" t="n">
        <x:f>B15*Inputs!$B$15+C15*Inputs!$B$16</x:f>
        <x:v>81.75</x:v>
      </x:c>
      <x:c r="Q15" s="24" t="n">
        <x:f>O15*E15</x:f>
        <x:v>75.81810746688502</x:v>
      </x:c>
      <x:c r="R15" s="24" t="n">
        <x:f>P15*E15</x:f>
        <x:v>112.69327791668819</x:v>
      </x:c>
    </x:row>
    <x:row r="16" ht="23" customHeight="1">
      <x:c r="A16" s="11" t="n">
        <x:v>15</x:v>
      </x:c>
      <x:c r="B16" s="23" t="n">
        <x:v>5</x:v>
      </x:c>
      <x:c r="C16" s="23" t="n">
        <x:v>60</x:v>
      </x:c>
      <x:c r="D16" s="24" t="n">
        <x:f>SUM(B16:C16)</x:f>
        <x:v>65</x:v>
      </x:c>
      <x:c r="E16" s="27" t="n">
        <x:f>(1+Inputs!$B$9)^(A16-1)</x:f>
        <x:v>1.4129738209737661</x:v>
      </x:c>
      <x:c r="F16" s="24" t="n">
        <x:f>B16*E16</x:f>
        <x:v>7.064869104868831</x:v>
      </x:c>
      <x:c r="G16" s="24" t="n">
        <x:f>C16*E16</x:f>
        <x:v>84.77842925842597</x:v>
      </x:c>
      <x:c r="H16" s="24" t="n">
        <x:f>SUM(F16:G16)</x:f>
        <x:v>91.8432983632948</x:v>
      </x:c>
      <x:c r="I16" s="24" t="n">
        <x:f>F16*Inputs!$B$17+F15*Inputs!$B$18+F14*Inputs!$B$19+G16*Inputs!$B$20+G15*Inputs!$B$21</x:f>
        <x:v>91.44823727117246</x:v>
      </x:c>
      <x:c r="J16" s="24" t="n">
        <x:f>I16/E16</x:f>
        <x:v>64.7204045211184</x:v>
      </x:c>
      <x:c r="K16" s="24" t="n">
        <x:f>Inputs!$B$10*(L15+I16/2)</x:f>
        <x:v>62.677311657726754</x:v>
      </x:c>
      <x:c r="L16" s="24" t="n">
        <x:f>L15+I16+K16</x:f>
        <x:v>1675.3342217364818</x:v>
      </x:c>
      <x:c r="M16" s="24" t="n">
        <x:f>SUM($D$2:D16)</x:f>
        <x:v>1071</x:v>
      </x:c>
      <x:c r="N16" s="24" t="n">
        <x:f>SUM($H$2:H16)</x:f>
        <x:v>1275.5661452108548</x:v>
      </x:c>
      <x:c r="O16" s="24" t="n">
        <x:f>B16*Inputs!$B$13+C16*Inputs!$B$14</x:f>
        <x:v>55</x:v>
      </x:c>
      <x:c r="P16" s="24" t="n">
        <x:f>B16*Inputs!$B$15+C16*Inputs!$B$16</x:f>
        <x:v>81.75</x:v>
      </x:c>
      <x:c r="Q16" s="24" t="n">
        <x:f>O16*E16</x:f>
        <x:v>77.71356015355714</x:v>
      </x:c>
      <x:c r="R16" s="24" t="n">
        <x:f>P16*E16</x:f>
        <x:v>115.51060986460539</x:v>
      </x:c>
    </x:row>
    <x:row r="17" ht="23" customHeight="1">
      <x:c r="A17" s="11" t="n">
        <x:v>16</x:v>
      </x:c>
      <x:c r="B17" s="23" t="n">
        <x:v>5</x:v>
      </x:c>
      <x:c r="C17" s="23" t="n">
        <x:v>60</x:v>
      </x:c>
      <x:c r="D17" s="24" t="n">
        <x:f>SUM(B17:C17)</x:f>
        <x:v>65</x:v>
      </x:c>
      <x:c r="E17" s="27" t="n">
        <x:f>(1+Inputs!$B$9)^(A17-1)</x:f>
        <x:v>1.4482981664981105</x:v>
      </x:c>
      <x:c r="F17" s="24" t="n">
        <x:f>B17*E17</x:f>
        <x:v>7.241490832490553</x:v>
      </x:c>
      <x:c r="G17" s="24" t="n">
        <x:f>C17*E17</x:f>
        <x:v>86.89788998988664</x:v>
      </x:c>
      <x:c r="H17" s="24" t="n">
        <x:f>SUM(F17:G17)</x:f>
        <x:v>94.13938082237719</x:v>
      </x:c>
      <x:c r="I17" s="24" t="n">
        <x:f>F17*Inputs!$B$17+F16*Inputs!$B$18+F15*Inputs!$B$19+G17*Inputs!$B$20+G16*Inputs!$B$21</x:f>
        <x:v>93.73444320295178</x:v>
      </x:c>
      <x:c r="J17" s="24" t="n">
        <x:f>I17/E17</x:f>
        <x:v>64.72040452111838</x:v>
      </x:c>
      <x:c r="K17" s="24" t="n">
        <x:f>Inputs!$B$10*(L16+I17/2)</x:f>
        <x:v>68.88805773351831</x:v>
      </x:c>
      <x:c r="L17" s="24" t="n">
        <x:f>L16+I17+K17</x:f>
        <x:v>1837.9567226729519</x:v>
      </x:c>
      <x:c r="M17" s="24" t="n">
        <x:f>SUM($D$2:D17)</x:f>
        <x:v>1136</x:v>
      </x:c>
      <x:c r="N17" s="24" t="n">
        <x:f>SUM($H$2:H17)</x:f>
        <x:v>1369.705526033232</x:v>
      </x:c>
      <x:c r="O17" s="24" t="n">
        <x:f>B17*Inputs!$B$13+C17*Inputs!$B$14</x:f>
        <x:v>55</x:v>
      </x:c>
      <x:c r="P17" s="24" t="n">
        <x:f>B17*Inputs!$B$15+C17*Inputs!$B$16</x:f>
        <x:v>81.75</x:v>
      </x:c>
      <x:c r="Q17" s="24" t="n">
        <x:f>O17*E17</x:f>
        <x:v>79.65639915739608</x:v>
      </x:c>
      <x:c r="R17" s="24" t="n">
        <x:f>P17*E17</x:f>
        <x:v>118.39837511122053</x:v>
      </x:c>
    </x:row>
    <x:row r="18" ht="23" customHeight="1">
      <x:c r="A18" s="11" t="n">
        <x:v>17</x:v>
      </x:c>
      <x:c r="B18" s="23" t="n">
        <x:v>5</x:v>
      </x:c>
      <x:c r="C18" s="23" t="n">
        <x:v>60</x:v>
      </x:c>
      <x:c r="D18" s="24" t="n">
        <x:f>SUM(B18:C18)</x:f>
        <x:v>65</x:v>
      </x:c>
      <x:c r="E18" s="27" t="n">
        <x:f>(1+Inputs!$B$9)^(A18-1)</x:f>
        <x:v>1.4845056206605631</x:v>
      </x:c>
      <x:c r="F18" s="24" t="n">
        <x:f>B18*E18</x:f>
        <x:v>7.422528103302816</x:v>
      </x:c>
      <x:c r="G18" s="24" t="n">
        <x:f>C18*E18</x:f>
        <x:v>89.07033723963379</x:v>
      </x:c>
      <x:c r="H18" s="24" t="n">
        <x:f>SUM(F18:G18)</x:f>
        <x:v>96.4928653429366</x:v>
      </x:c>
      <x:c r="I18" s="24" t="n">
        <x:f>F18*Inputs!$B$17+F17*Inputs!$B$18+F16*Inputs!$B$19+G18*Inputs!$B$20+G17*Inputs!$B$21</x:f>
        <x:v>96.07780428302556</x:v>
      </x:c>
      <x:c r="J18" s="24" t="n">
        <x:f>I18/E18</x:f>
        <x:v>64.72040452111838</x:v>
      </x:c>
      <x:c r="K18" s="24" t="n">
        <x:f>Inputs!$B$10*(L17+I18/2)</x:f>
        <x:v>75.4398249925786</x:v>
      </x:c>
      <x:c r="L18" s="24" t="n">
        <x:f>L17+I18+K18</x:f>
        <x:v>2009.4743519485562</x:v>
      </x:c>
      <x:c r="M18" s="24" t="n">
        <x:f>SUM($D$2:D18)</x:f>
        <x:v>1201</x:v>
      </x:c>
      <x:c r="N18" s="24" t="n">
        <x:f>SUM($H$2:H18)</x:f>
        <x:v>1466.1983913761685</x:v>
      </x:c>
      <x:c r="O18" s="24" t="n">
        <x:f>B18*Inputs!$B$13+C18*Inputs!$B$14</x:f>
        <x:v>55</x:v>
      </x:c>
      <x:c r="P18" s="24" t="n">
        <x:f>B18*Inputs!$B$15+C18*Inputs!$B$16</x:f>
        <x:v>81.75</x:v>
      </x:c>
      <x:c r="Q18" s="24" t="n">
        <x:f>O18*E18</x:f>
        <x:v>81.64780913633098</x:v>
      </x:c>
      <x:c r="R18" s="24" t="n">
        <x:f>P18*E18</x:f>
        <x:v>121.35833448900104</x:v>
      </x:c>
    </x:row>
    <x:row r="19" ht="23" customHeight="1">
      <x:c r="A19" s="11" t="n">
        <x:v>18</x:v>
      </x:c>
      <x:c r="B19" s="23" t="n">
        <x:v>5</x:v>
      </x:c>
      <x:c r="C19" s="23" t="n">
        <x:v>60</x:v>
      </x:c>
      <x:c r="D19" s="24" t="n">
        <x:f>SUM(B19:C19)</x:f>
        <x:v>65</x:v>
      </x:c>
      <x:c r="E19" s="27" t="n">
        <x:f>(1+Inputs!$B$9)^(A19-1)</x:f>
        <x:v>1.521618261177077</x:v>
      </x:c>
      <x:c r="F19" s="24" t="n">
        <x:f>B19*E19</x:f>
        <x:v>7.6080913058853845</x:v>
      </x:c>
      <x:c r="G19" s="24" t="n">
        <x:f>C19*E19</x:f>
        <x:v>91.29709567062461</x:v>
      </x:c>
      <x:c r="H19" s="24" t="n">
        <x:f>SUM(F19:G19)</x:f>
        <x:v>98.90518697651</x:v>
      </x:c>
      <x:c r="I19" s="24" t="n">
        <x:f>F19*Inputs!$B$17+F18*Inputs!$B$18+F17*Inputs!$B$19+G19*Inputs!$B$20+G18*Inputs!$B$21</x:f>
        <x:v>98.47974939010118</x:v>
      </x:c>
      <x:c r="J19" s="24" t="n">
        <x:f>I19/E19</x:f>
        <x:v>64.72040452111838</x:v>
      </x:c>
      <x:c r="K19" s="24" t="n">
        <x:f>Inputs!$B$10*(L18+I19/2)</x:f>
        <x:v>82.34856906574427</x:v>
      </x:c>
      <x:c r="L19" s="24" t="n">
        <x:f>L18+I19+K19</x:f>
        <x:v>2190.302670404402</x:v>
      </x:c>
      <x:c r="M19" s="24" t="n">
        <x:f>SUM($D$2:D19)</x:f>
        <x:v>1266</x:v>
      </x:c>
      <x:c r="N19" s="24" t="n">
        <x:f>SUM($H$2:H19)</x:f>
        <x:v>1565.1035783526786</x:v>
      </x:c>
      <x:c r="O19" s="24" t="n">
        <x:f>B19*Inputs!$B$13+C19*Inputs!$B$14</x:f>
        <x:v>55</x:v>
      </x:c>
      <x:c r="P19" s="24" t="n">
        <x:f>B19*Inputs!$B$15+C19*Inputs!$B$16</x:f>
        <x:v>81.75</x:v>
      </x:c>
      <x:c r="Q19" s="24" t="n">
        <x:f>O19*E19</x:f>
        <x:v>83.68900436473923</x:v>
      </x:c>
      <x:c r="R19" s="24" t="n">
        <x:f>P19*E19</x:f>
        <x:v>124.39229285122605</x:v>
      </x:c>
    </x:row>
    <x:row r="20" ht="23" customHeight="1">
      <x:c r="A20" s="11" t="n">
        <x:v>19</x:v>
      </x:c>
      <x:c r="B20" s="23" t="n">
        <x:v>5</x:v>
      </x:c>
      <x:c r="C20" s="23" t="n">
        <x:v>60</x:v>
      </x:c>
      <x:c r="D20" s="24" t="n">
        <x:f>SUM(B20:C20)</x:f>
        <x:v>65</x:v>
      </x:c>
      <x:c r="E20" s="27" t="n">
        <x:f>(1+Inputs!$B$9)^(A20-1)</x:f>
        <x:v>1.559658717706504</x:v>
      </x:c>
      <x:c r="F20" s="24" t="n">
        <x:f>B20*E20</x:f>
        <x:v>7.79829358853252</x:v>
      </x:c>
      <x:c r="G20" s="24" t="n">
        <x:f>C20*E20</x:f>
        <x:v>93.57952306239024</x:v>
      </x:c>
      <x:c r="H20" s="24" t="n">
        <x:f>SUM(F20:G20)</x:f>
        <x:v>101.37781665092275</x:v>
      </x:c>
      <x:c r="I20" s="24" t="n">
        <x:f>F20*Inputs!$B$17+F19*Inputs!$B$18+F18*Inputs!$B$19+G20*Inputs!$B$20+G19*Inputs!$B$21</x:f>
        <x:v>100.94174312485372</x:v>
      </x:c>
      <x:c r="J20" s="24" t="n">
        <x:f>I20/E20</x:f>
        <x:v>64.72040452111838</x:v>
      </x:c>
      <x:c r="K20" s="24" t="n">
        <x:f>Inputs!$B$10*(L19+I20/2)</x:f>
        <x:v>89.63094167867315</x:v>
      </x:c>
      <x:c r="L20" s="24" t="n">
        <x:f>L19+I20+K20</x:f>
        <x:v>2380.875355207929</x:v>
      </x:c>
      <x:c r="M20" s="24" t="n">
        <x:f>SUM($D$2:D20)</x:f>
        <x:v>1331</x:v>
      </x:c>
      <x:c r="N20" s="24" t="n">
        <x:f>SUM($H$2:H20)</x:f>
        <x:v>1666.4813950036014</x:v>
      </x:c>
      <x:c r="O20" s="24" t="n">
        <x:f>B20*Inputs!$B$13+C20*Inputs!$B$14</x:f>
        <x:v>55</x:v>
      </x:c>
      <x:c r="P20" s="24" t="n">
        <x:f>B20*Inputs!$B$15+C20*Inputs!$B$16</x:f>
        <x:v>81.75</x:v>
      </x:c>
      <x:c r="Q20" s="24" t="n">
        <x:f>O20*E20</x:f>
        <x:v>85.78122947385772</x:v>
      </x:c>
      <x:c r="R20" s="24" t="n">
        <x:f>P20*E20</x:f>
        <x:v>127.5021001725067</x:v>
      </x:c>
    </x:row>
    <x:row r="21" ht="23" customHeight="1">
      <x:c r="A21" s="11" t="n">
        <x:v>20</x:v>
      </x:c>
      <x:c r="B21" s="23" t="n">
        <x:v>5</x:v>
      </x:c>
      <x:c r="C21" s="23" t="n">
        <x:v>60</x:v>
      </x:c>
      <x:c r="D21" s="24" t="n">
        <x:f>SUM(B21:C21)</x:f>
        <x:v>65</x:v>
      </x:c>
      <x:c r="E21" s="27" t="n">
        <x:f>(1+Inputs!$B$9)^(A21-1)</x:f>
        <x:v>1.5986501856491666</x:v>
      </x:c>
      <x:c r="F21" s="24" t="n">
        <x:f>B21*E21</x:f>
        <x:v>7.993250928245833</x:v>
      </x:c>
      <x:c r="G21" s="24" t="n">
        <x:f>C21*E21</x:f>
        <x:v>95.91901113895</x:v>
      </x:c>
      <x:c r="H21" s="24" t="n">
        <x:f>SUM(F21:G21)</x:f>
        <x:v>103.91226206719583</x:v>
      </x:c>
      <x:c r="I21" s="24" t="n">
        <x:f>F21*Inputs!$B$17+F20*Inputs!$B$18+F19*Inputs!$B$19+G21*Inputs!$B$20+G20*Inputs!$B$21</x:f>
        <x:v>103.46528670297508</x:v>
      </x:c>
      <x:c r="J21" s="24" t="n">
        <x:f>I21/E21</x:f>
        <x:v>64.7204045211184</x:v>
      </x:c>
      <x:c r="K21" s="24" t="n">
        <x:f>Inputs!$B$10*(L20+I21/2)</x:f>
        <x:v>97.30431994237667</x:v>
      </x:c>
      <x:c r="L21" s="24" t="n">
        <x:f>L20+I21+K21</x:f>
        <x:v>2581.6449618532806</x:v>
      </x:c>
      <x:c r="M21" s="24" t="n">
        <x:f>SUM($D$2:D21)</x:f>
        <x:v>1396</x:v>
      </x:c>
      <x:c r="N21" s="24" t="n">
        <x:f>SUM($H$2:H21)</x:f>
        <x:v>1770.3936570707972</x:v>
      </x:c>
      <x:c r="O21" s="24" t="n">
        <x:f>B21*Inputs!$B$13+C21*Inputs!$B$14</x:f>
        <x:v>55</x:v>
      </x:c>
      <x:c r="P21" s="24" t="n">
        <x:f>B21*Inputs!$B$15+C21*Inputs!$B$16</x:f>
        <x:v>81.75</x:v>
      </x:c>
      <x:c r="Q21" s="24" t="n">
        <x:f>O21*E21</x:f>
        <x:v>87.92576021070417</x:v>
      </x:c>
      <x:c r="R21" s="24" t="n">
        <x:f>P21*E21</x:f>
        <x:v>130.68965267681938</x:v>
      </x:c>
    </x:row>
    <x:row r="22" ht="23" customHeight="1">
      <x:c r="A22" s="11" t="n">
        <x:v>21</x:v>
      </x:c>
      <x:c r="B22" s="23" t="n">
        <x:v>5</x:v>
      </x:c>
      <x:c r="C22" s="23" t="n">
        <x:v>60</x:v>
      </x:c>
      <x:c r="D22" s="24" t="n">
        <x:f>SUM(B22:C22)</x:f>
        <x:v>65</x:v>
      </x:c>
      <x:c r="E22" s="27" t="n">
        <x:f>(1+Inputs!$B$9)^(A22-1)</x:f>
        <x:v>1.6386164402903955</x:v>
      </x:c>
      <x:c r="F22" s="24" t="n">
        <x:f>B22*E22</x:f>
        <x:v>8.193082201451977</x:v>
      </x:c>
      <x:c r="G22" s="24" t="n">
        <x:f>C22*E22</x:f>
        <x:v>98.31698641742373</x:v>
      </x:c>
      <x:c r="H22" s="24" t="n">
        <x:f>SUM(F22:G22)</x:f>
        <x:v>106.5100686188757</x:v>
      </x:c>
      <x:c r="I22" s="24" t="n">
        <x:f>F22*Inputs!$B$17+F21*Inputs!$B$18+F20*Inputs!$B$19+G22*Inputs!$B$20+G21*Inputs!$B$21</x:f>
        <x:v>106.05191887054943</x:v>
      </x:c>
      <x:c r="J22" s="24" t="n">
        <x:f>I22/E22</x:f>
        <x:v>64.72040452111838</x:v>
      </x:c>
      <x:c r="K22" s="24" t="n">
        <x:f>Inputs!$B$10*(L21+I22/2)</x:f>
        <x:v>105.38683685154221</x:v>
      </x:c>
      <x:c r="L22" s="24" t="n">
        <x:f>L21+I22+K22</x:f>
        <x:v>2793.0837175753722</x:v>
      </x:c>
      <x:c r="M22" s="24" t="n">
        <x:f>SUM($D$2:D22)</x:f>
        <x:v>1461</x:v>
      </x:c>
      <x:c r="N22" s="24" t="n">
        <x:f>SUM($H$2:H22)</x:f>
        <x:v>1876.903725689673</x:v>
      </x:c>
      <x:c r="O22" s="24" t="n">
        <x:f>B22*Inputs!$B$13+C22*Inputs!$B$14</x:f>
        <x:v>55</x:v>
      </x:c>
      <x:c r="P22" s="24" t="n">
        <x:f>B22*Inputs!$B$15+C22*Inputs!$B$16</x:f>
        <x:v>81.75</x:v>
      </x:c>
      <x:c r="Q22" s="24" t="n">
        <x:f>O22*E22</x:f>
        <x:v>90.12390421597175</x:v>
      </x:c>
      <x:c r="R22" s="24" t="n">
        <x:f>P22*E22</x:f>
        <x:v>133.95689399373984</x:v>
      </x:c>
    </x:row>
    <x:row r="23" ht="23" customHeight="1">
      <x:c r="A23" s="11" t="n">
        <x:v>22</x:v>
      </x:c>
      <x:c r="B23" s="23" t="n">
        <x:v>5</x:v>
      </x:c>
      <x:c r="C23" s="23" t="n">
        <x:v>60</x:v>
      </x:c>
      <x:c r="D23" s="24" t="n">
        <x:f>SUM(B23:C23)</x:f>
        <x:v>65</x:v>
      </x:c>
      <x:c r="E23" s="27" t="n">
        <x:f>(1+Inputs!$B$9)^(A23-1)</x:f>
        <x:v>1.6795818512976552</x:v>
      </x:c>
      <x:c r="F23" s="24" t="n">
        <x:f>B23*E23</x:f>
        <x:v>8.397909256488276</x:v>
      </x:c>
      <x:c r="G23" s="24" t="n">
        <x:f>C23*E23</x:f>
        <x:v>100.77491107785931</x:v>
      </x:c>
      <x:c r="H23" s="24" t="n">
        <x:f>SUM(F23:G23)</x:f>
        <x:v>109.17282033434759</x:v>
      </x:c>
      <x:c r="I23" s="24" t="n">
        <x:f>F23*Inputs!$B$17+F22*Inputs!$B$18+F21*Inputs!$B$19+G23*Inputs!$B$20+G22*Inputs!$B$21</x:f>
        <x:v>108.70321684231315</x:v>
      </x:c>
      <x:c r="J23" s="24" t="n">
        <x:f>I23/E23</x:f>
        <x:v>64.72040452111838</x:v>
      </x:c>
      <x:c r="K23" s="24" t="n">
        <x:f>Inputs!$B$10*(L22+I23/2)</x:f>
        <x:v>113.89741303986115</x:v>
      </x:c>
      <x:c r="L23" s="24" t="n">
        <x:f>L22+I23+K23</x:f>
        <x:v>3015.684347457546</x:v>
      </x:c>
      <x:c r="M23" s="24" t="n">
        <x:f>SUM($D$2:D23)</x:f>
        <x:v>1526</x:v>
      </x:c>
      <x:c r="N23" s="24" t="n">
        <x:f>SUM($H$2:H23)</x:f>
        <x:v>1986.0765460240204</x:v>
      </x:c>
      <x:c r="O23" s="24" t="n">
        <x:f>B23*Inputs!$B$13+C23*Inputs!$B$14</x:f>
        <x:v>55</x:v>
      </x:c>
      <x:c r="P23" s="24" t="n">
        <x:f>B23*Inputs!$B$15+C23*Inputs!$B$16</x:f>
        <x:v>81.75</x:v>
      </x:c>
      <x:c r="Q23" s="24" t="n">
        <x:f>O23*E23</x:f>
        <x:v>92.37700182137104</x:v>
      </x:c>
      <x:c r="R23" s="24" t="n">
        <x:f>P23*E23</x:f>
        <x:v>137.30581634358333</x:v>
      </x:c>
    </x:row>
    <x:row r="24" ht="23" customHeight="1">
      <x:c r="A24" s="11" t="n">
        <x:v>23</x:v>
      </x:c>
      <x:c r="B24" s="23" t="n">
        <x:v>5</x:v>
      </x:c>
      <x:c r="C24" s="23" t="n">
        <x:v>60</x:v>
      </x:c>
      <x:c r="D24" s="24" t="n">
        <x:f>SUM(B24:C24)</x:f>
        <x:v>65</x:v>
      </x:c>
      <x:c r="E24" s="27" t="n">
        <x:f>(1+Inputs!$B$9)^(A24-1)</x:f>
        <x:v>1.7215713975800966</x:v>
      </x:c>
      <x:c r="F24" s="24" t="n">
        <x:f>B24*E24</x:f>
        <x:v>8.607856987900483</x:v>
      </x:c>
      <x:c r="G24" s="24" t="n">
        <x:f>C24*E24</x:f>
        <x:v>103.2942838548058</x:v>
      </x:c>
      <x:c r="H24" s="24" t="n">
        <x:f>SUM(F24:G24)</x:f>
        <x:v>111.90214084270627</x:v>
      </x:c>
      <x:c r="I24" s="24" t="n">
        <x:f>F24*Inputs!$B$17+F23*Inputs!$B$18+F22*Inputs!$B$19+G24*Inputs!$B$20+G23*Inputs!$B$21</x:f>
        <x:v>111.42079726337097</x:v>
      </x:c>
      <x:c r="J24" s="24" t="n">
        <x:f>I24/E24</x:f>
        <x:v>64.72040452111838</x:v>
      </x:c>
      <x:c r="K24" s="24" t="n">
        <x:f>Inputs!$B$10*(L23+I24/2)</x:f>
        <x:v>122.85578984356927</x:v>
      </x:c>
      <x:c r="L24" s="24" t="n">
        <x:f>L23+I24+K24</x:f>
        <x:v>3249.9609345644863</x:v>
      </x:c>
      <x:c r="M24" s="24" t="n">
        <x:f>SUM($D$2:D24)</x:f>
        <x:v>1591</x:v>
      </x:c>
      <x:c r="N24" s="24" t="n">
        <x:f>SUM($H$2:H24)</x:f>
        <x:v>2097.9786868667265</x:v>
      </x:c>
      <x:c r="O24" s="24" t="n">
        <x:f>B24*Inputs!$B$13+C24*Inputs!$B$14</x:f>
        <x:v>55</x:v>
      </x:c>
      <x:c r="P24" s="24" t="n">
        <x:f>B24*Inputs!$B$15+C24*Inputs!$B$16</x:f>
        <x:v>81.75</x:v>
      </x:c>
      <x:c r="Q24" s="24" t="n">
        <x:f>O24*E24</x:f>
        <x:v>94.68642686690531</x:v>
      </x:c>
      <x:c r="R24" s="24" t="n">
        <x:f>P24*E24</x:f>
        <x:v>140.7384617521729</x:v>
      </x:c>
    </x:row>
    <x:row r="25" ht="23" customHeight="1">
      <x:c r="A25" s="11" t="n">
        <x:v>24</x:v>
      </x:c>
      <x:c r="B25" s="23" t="n">
        <x:v>5</x:v>
      </x:c>
      <x:c r="C25" s="23" t="n">
        <x:v>60</x:v>
      </x:c>
      <x:c r="D25" s="24" t="n">
        <x:f>SUM(B25:C25)</x:f>
        <x:v>65</x:v>
      </x:c>
      <x:c r="E25" s="27" t="n">
        <x:f>(1+Inputs!$B$9)^(A25-1)</x:f>
        <x:v>1.764610682519599</x:v>
      </x:c>
      <x:c r="F25" s="24" t="n">
        <x:f>B25*E25</x:f>
        <x:v>8.823053412597995</x:v>
      </x:c>
      <x:c r="G25" s="24" t="n">
        <x:f>C25*E25</x:f>
        <x:v>105.87664095117594</x:v>
      </x:c>
      <x:c r="H25" s="24" t="n">
        <x:f>SUM(F25:G25)</x:f>
        <x:v>114.69969436377394</x:v>
      </x:c>
      <x:c r="I25" s="24" t="n">
        <x:f>F25*Inputs!$B$17+F24*Inputs!$B$18+F23*Inputs!$B$19+G25*Inputs!$B$20+G24*Inputs!$B$21</x:f>
        <x:v>114.20631719495526</x:v>
      </x:c>
      <x:c r="J25" s="24" t="n">
        <x:f>I25/E25</x:f>
        <x:v>64.72040452111838</x:v>
      </x:c>
      <x:c r="K25" s="24" t="n">
        <x:f>Inputs!$B$10*(L24+I25/2)</x:f>
        <x:v>132.28256372647854</x:v>
      </x:c>
      <x:c r="L25" s="24" t="n">
        <x:f>L24+I25+K25</x:f>
        <x:v>3496.44981548592</x:v>
      </x:c>
      <x:c r="M25" s="24" t="n">
        <x:f>SUM($D$2:D25)</x:f>
        <x:v>1656</x:v>
      </x:c>
      <x:c r="N25" s="24" t="n">
        <x:f>SUM($H$2:H25)</x:f>
        <x:v>2212.6783812305007</x:v>
      </x:c>
      <x:c r="O25" s="24" t="n">
        <x:f>B25*Inputs!$B$13+C25*Inputs!$B$14</x:f>
        <x:v>55</x:v>
      </x:c>
      <x:c r="P25" s="24" t="n">
        <x:f>B25*Inputs!$B$15+C25*Inputs!$B$16</x:f>
        <x:v>81.75</x:v>
      </x:c>
      <x:c r="Q25" s="24" t="n">
        <x:f>O25*E25</x:f>
        <x:v>97.05358753857794</x:v>
      </x:c>
      <x:c r="R25" s="24" t="n">
        <x:f>P25*E25</x:f>
        <x:v>144.25692329597723</x:v>
      </x:c>
    </x:row>
    <x:row r="26" ht="23" customHeight="1">
      <x:c r="A26" s="11" t="n">
        <x:v>25</x:v>
      </x:c>
      <x:c r="B26" s="23" t="n">
        <x:v>5</x:v>
      </x:c>
      <x:c r="C26" s="23" t="n">
        <x:v>60</x:v>
      </x:c>
      <x:c r="D26" s="24" t="n">
        <x:f>SUM(B26:C26)</x:f>
        <x:v>65</x:v>
      </x:c>
      <x:c r="E26" s="27" t="n">
        <x:f>(1+Inputs!$B$9)^(A26-1)</x:f>
        <x:v>1.808725949582589</x:v>
      </x:c>
      <x:c r="F26" s="24" t="n">
        <x:f>B26*E26</x:f>
        <x:v>9.043629747912945</x:v>
      </x:c>
      <x:c r="G26" s="24" t="n">
        <x:f>C26*E26</x:f>
        <x:v>108.52355697495534</x:v>
      </x:c>
      <x:c r="H26" s="24" t="n">
        <x:f>SUM(F26:G26)</x:f>
        <x:v>117.56718672286829</x:v>
      </x:c>
      <x:c r="I26" s="24" t="n">
        <x:f>F26*Inputs!$B$17+F25*Inputs!$B$18+F24*Inputs!$B$19+G26*Inputs!$B$20+G25*Inputs!$B$21</x:f>
        <x:v>117.06147512482914</x:v>
      </x:c>
      <x:c r="J26" s="24" t="n">
        <x:f>I26/E26</x:f>
        <x:v>64.7204045211184</x:v>
      </x:c>
      <x:c r="K26" s="24" t="n">
        <x:f>Inputs!$B$10*(L25+I26/2)</x:f>
        <x:v>142.1992221219334</x:v>
      </x:c>
      <x:c r="L26" s="24" t="n">
        <x:f>L25+I26+K26</x:f>
        <x:v>3755.7105127326827</x:v>
      </x:c>
      <x:c r="M26" s="24" t="n">
        <x:f>SUM($D$2:D26)</x:f>
        <x:v>1721</x:v>
      </x:c>
      <x:c r="N26" s="24" t="n">
        <x:f>SUM($H$2:H26)</x:f>
        <x:v>2330.245567953369</x:v>
      </x:c>
      <x:c r="O26" s="24" t="n">
        <x:f>B26*Inputs!$B$13+C26*Inputs!$B$14</x:f>
        <x:v>55</x:v>
      </x:c>
      <x:c r="P26" s="24" t="n">
        <x:f>B26*Inputs!$B$15+C26*Inputs!$B$16</x:f>
        <x:v>81.75</x:v>
      </x:c>
      <x:c r="Q26" s="24" t="n">
        <x:f>O26*E26</x:f>
        <x:v>99.4799272270424</x:v>
      </x:c>
      <x:c r="R26" s="24" t="n">
        <x:f>P26*E26</x:f>
        <x:v>147.86334637837663</x:v>
      </x:c>
    </x:row>
    <x:row r="27" ht="23" customHeight="1">
      <x:c r="A27" s="11" t="n">
        <x:v>26</x:v>
      </x:c>
      <x:c r="B27" s="23" t="n">
        <x:v>5</x:v>
      </x:c>
      <x:c r="C27" s="23" t="n">
        <x:v>60</x:v>
      </x:c>
      <x:c r="D27" s="24" t="n">
        <x:f>SUM(B27:C27)</x:f>
        <x:v>65</x:v>
      </x:c>
      <x:c r="E27" s="27" t="n">
        <x:f>(1+Inputs!$B$9)^(A27-1)</x:f>
        <x:v>1.8539440983221533</x:v>
      </x:c>
      <x:c r="F27" s="24" t="n">
        <x:f>B27*E27</x:f>
        <x:v>9.269720491610766</x:v>
      </x:c>
      <x:c r="G27" s="24" t="n">
        <x:f>C27*E27</x:f>
        <x:v>111.2366458993292</x:v>
      </x:c>
      <x:c r="H27" s="24" t="n">
        <x:f>SUM(F27:G27)</x:f>
        <x:v>120.50636639093997</x:v>
      </x:c>
      <x:c r="I27" s="24" t="n">
        <x:f>F27*Inputs!$B$17+F26*Inputs!$B$18+F25*Inputs!$B$19+G27*Inputs!$B$20+G26*Inputs!$B$21</x:f>
        <x:v>119.98801200294986</x:v>
      </x:c>
      <x:c r="J27" s="24" t="n">
        <x:f>I27/E27</x:f>
        <x:v>64.7204045211184</x:v>
      </x:c>
      <x:c r="K27" s="24" t="n">
        <x:f>Inputs!$B$10*(L26+I27/2)</x:f>
        <x:v>152.62818074936632</x:v>
      </x:c>
      <x:c r="L27" s="24" t="n">
        <x:f>L26+I27+K27</x:f>
        <x:v>4028.326705484999</x:v>
      </x:c>
      <x:c r="M27" s="24" t="n">
        <x:f>SUM($D$2:D27)</x:f>
        <x:v>1786</x:v>
      </x:c>
      <x:c r="N27" s="24" t="n">
        <x:f>SUM($H$2:H27)</x:f>
        <x:v>2450.751934344309</x:v>
      </x:c>
      <x:c r="O27" s="24" t="n">
        <x:f>B27*Inputs!$B$13+C27*Inputs!$B$14</x:f>
        <x:v>55</x:v>
      </x:c>
      <x:c r="P27" s="24" t="n">
        <x:f>B27*Inputs!$B$15+C27*Inputs!$B$16</x:f>
        <x:v>81.75</x:v>
      </x:c>
      <x:c r="Q27" s="24" t="n">
        <x:f>O27*E27</x:f>
        <x:v>101.96692540771843</x:v>
      </x:c>
      <x:c r="R27" s="24" t="n">
        <x:f>P27*E27</x:f>
        <x:v>151.55993003783604</x:v>
      </x:c>
    </x:row>
    <x:row r="28" ht="23" customHeight="1">
      <x:c r="A28" s="11" t="n">
        <x:v>27</x:v>
      </x:c>
      <x:c r="B28" s="23" t="n">
        <x:v>5</x:v>
      </x:c>
      <x:c r="C28" s="23" t="n">
        <x:v>60</x:v>
      </x:c>
      <x:c r="D28" s="24" t="n">
        <x:f>SUM(B28:C28)</x:f>
        <x:v>65</x:v>
      </x:c>
      <x:c r="E28" s="27" t="n">
        <x:f>(1+Inputs!$B$9)^(A28-1)</x:f>
        <x:v>1.900292700780207</x:v>
      </x:c>
      <x:c r="F28" s="24" t="n">
        <x:f>B28*E28</x:f>
        <x:v>9.501463503901036</x:v>
      </x:c>
      <x:c r="G28" s="24" t="n">
        <x:f>C28*E28</x:f>
        <x:v>114.01756204681243</x:v>
      </x:c>
      <x:c r="H28" s="24" t="n">
        <x:f>SUM(F28:G28)</x:f>
        <x:v>123.51902555071347</x:v>
      </x:c>
      <x:c r="I28" s="24" t="n">
        <x:f>F28*Inputs!$B$17+F27*Inputs!$B$18+F26*Inputs!$B$19+G28*Inputs!$B$20+G27*Inputs!$B$21</x:f>
        <x:v>122.98771230302359</x:v>
      </x:c>
      <x:c r="J28" s="24" t="n">
        <x:f>I28/E28</x:f>
        <x:v>64.72040452111838</x:v>
      </x:c>
      <x:c r="K28" s="24" t="n">
        <x:f>Inputs!$B$10*(L27+I28/2)</x:f>
        <x:v>163.59282246546044</x:v>
      </x:c>
      <x:c r="L28" s="24" t="n">
        <x:f>L27+I28+K28</x:f>
        <x:v>4314.907240253483</x:v>
      </x:c>
      <x:c r="M28" s="24" t="n">
        <x:f>SUM($D$2:D28)</x:f>
        <x:v>1851</x:v>
      </x:c>
      <x:c r="N28" s="24" t="n">
        <x:f>SUM($H$2:H28)</x:f>
        <x:v>2574.2709598950228</x:v>
      </x:c>
      <x:c r="O28" s="24" t="n">
        <x:f>B28*Inputs!$B$13+C28*Inputs!$B$14</x:f>
        <x:v>55</x:v>
      </x:c>
      <x:c r="P28" s="24" t="n">
        <x:f>B28*Inputs!$B$15+C28*Inputs!$B$16</x:f>
        <x:v>81.75</x:v>
      </x:c>
      <x:c r="Q28" s="24" t="n">
        <x:f>O28*E28</x:f>
        <x:v>104.5160985429114</x:v>
      </x:c>
      <x:c r="R28" s="24" t="n">
        <x:f>P28*E28</x:f>
        <x:v>155.34892828878193</x:v>
      </x:c>
    </x:row>
    <x:row r="29" ht="23" customHeight="1">
      <x:c r="A29" s="11" t="n">
        <x:v>28</x:v>
      </x:c>
      <x:c r="B29" s="23" t="n">
        <x:v>5</x:v>
      </x:c>
      <x:c r="C29" s="23" t="n">
        <x:v>60</x:v>
      </x:c>
      <x:c r="D29" s="24" t="n">
        <x:f>SUM(B29:C29)</x:f>
        <x:v>65</x:v>
      </x:c>
      <x:c r="E29" s="27" t="n">
        <x:f>(1+Inputs!$B$9)^(A29-1)</x:f>
        <x:v>1.9478000182997122</x:v>
      </x:c>
      <x:c r="F29" s="24" t="n">
        <x:f>B29*E29</x:f>
        <x:v>9.73900009149856</x:v>
      </x:c>
      <x:c r="G29" s="24" t="n">
        <x:f>C29*E29</x:f>
        <x:v>116.86800109798273</x:v>
      </x:c>
      <x:c r="H29" s="24" t="n">
        <x:f>SUM(F29:G29)</x:f>
        <x:v>126.60700118948128</x:v>
      </x:c>
      <x:c r="I29" s="24" t="n">
        <x:f>F29*Inputs!$B$17+F28*Inputs!$B$18+F27*Inputs!$B$19+G29*Inputs!$B$20+G28*Inputs!$B$21</x:f>
        <x:v>126.06240511059917</x:v>
      </x:c>
      <x:c r="J29" s="24" t="n">
        <x:f>I29/E29</x:f>
        <x:v>64.72040452111838</x:v>
      </x:c>
      <x:c r="K29" s="24" t="n">
        <x:f>Inputs!$B$10*(L28+I29/2)</x:f>
        <x:v>175.1175377123513</x:v>
      </x:c>
      <x:c r="L29" s="24" t="n">
        <x:f>L28+I29+K29</x:f>
        <x:v>4616.087183076433</x:v>
      </x:c>
      <x:c r="M29" s="24" t="n">
        <x:f>SUM($D$2:D29)</x:f>
        <x:v>1916</x:v>
      </x:c>
      <x:c r="N29" s="24" t="n">
        <x:f>SUM($H$2:H29)</x:f>
        <x:v>2700.877961084504</x:v>
      </x:c>
      <x:c r="O29" s="24" t="n">
        <x:f>B29*Inputs!$B$13+C29*Inputs!$B$14</x:f>
        <x:v>55</x:v>
      </x:c>
      <x:c r="P29" s="24" t="n">
        <x:f>B29*Inputs!$B$15+C29*Inputs!$B$16</x:f>
        <x:v>81.75</x:v>
      </x:c>
      <x:c r="Q29" s="24" t="n">
        <x:f>O29*E29</x:f>
        <x:v>107.12900100648417</x:v>
      </x:c>
      <x:c r="R29" s="24" t="n">
        <x:f>P29*E29</x:f>
        <x:v>159.23265149600147</x:v>
      </x:c>
    </x:row>
    <x:row r="30" ht="23" customHeight="1">
      <x:c r="A30" s="11" t="n">
        <x:v>29</x:v>
      </x:c>
      <x:c r="B30" s="23" t="n">
        <x:v>5</x:v>
      </x:c>
      <x:c r="C30" s="23" t="n">
        <x:v>60</x:v>
      </x:c>
      <x:c r="D30" s="24" t="n">
        <x:f>SUM(B30:C30)</x:f>
        <x:v>65</x:v>
      </x:c>
      <x:c r="E30" s="27" t="n">
        <x:f>(1+Inputs!$B$9)^(A30-1)</x:f>
        <x:v>1.9964950187572048</x:v>
      </x:c>
      <x:c r="F30" s="24" t="n">
        <x:f>B30*E30</x:f>
        <x:v>9.982475093786023</x:v>
      </x:c>
      <x:c r="G30" s="24" t="n">
        <x:f>C30*E30</x:f>
        <x:v>119.78970112543229</x:v>
      </x:c>
      <x:c r="H30" s="24" t="n">
        <x:f>SUM(F30:G30)</x:f>
        <x:v>129.77217621921832</x:v>
      </x:c>
      <x:c r="I30" s="24" t="n">
        <x:f>F30*Inputs!$B$17+F29*Inputs!$B$18+F28*Inputs!$B$19+G30*Inputs!$B$20+G29*Inputs!$B$21</x:f>
        <x:v>129.21396523836412</x:v>
      </x:c>
      <x:c r="J30" s="24" t="n">
        <x:f>I30/E30</x:f>
        <x:v>64.72040452111838</x:v>
      </x:c>
      <x:c r="K30" s="24" t="n">
        <x:f>Inputs!$B$10*(L29+I30/2)</x:f>
        <x:v>187.2277666278246</x:v>
      </x:c>
      <x:c r="L30" s="24" t="n">
        <x:f>L29+I30+K30</x:f>
        <x:v>4932.528914942621</x:v>
      </x:c>
      <x:c r="M30" s="24" t="n">
        <x:f>SUM($D$2:D30)</x:f>
        <x:v>1981</x:v>
      </x:c>
      <x:c r="N30" s="24" t="n">
        <x:f>SUM($H$2:H30)</x:f>
        <x:v>2830.650137303722</x:v>
      </x:c>
      <x:c r="O30" s="24" t="n">
        <x:f>B30*Inputs!$B$13+C30*Inputs!$B$14</x:f>
        <x:v>55</x:v>
      </x:c>
      <x:c r="P30" s="24" t="n">
        <x:f>B30*Inputs!$B$15+C30*Inputs!$B$16</x:f>
        <x:v>81.75</x:v>
      </x:c>
      <x:c r="Q30" s="24" t="n">
        <x:f>O30*E30</x:f>
        <x:v>109.80722603164627</x:v>
      </x:c>
      <x:c r="R30" s="24" t="n">
        <x:f>P30*E30</x:f>
        <x:v>163.21346778340148</x:v>
      </x:c>
    </x:row>
    <x:row r="31" ht="23" customHeight="1">
      <x:c r="A31" s="11" t="n">
        <x:v>30</x:v>
      </x:c>
      <x:c r="B31" s="23" t="n">
        <x:v>5</x:v>
      </x:c>
      <x:c r="C31" s="23" t="n">
        <x:v>60</x:v>
      </x:c>
      <x:c r="D31" s="24" t="n">
        <x:f>SUM(B31:C31)</x:f>
        <x:v>65</x:v>
      </x:c>
      <x:c r="E31" s="27" t="n">
        <x:f>(1+Inputs!$B$9)^(A31-1)</x:f>
        <x:v>2.046407394226135</x:v>
      </x:c>
      <x:c r="F31" s="24" t="n">
        <x:f>B31*E31</x:f>
        <x:v>10.232036971130675</x:v>
      </x:c>
      <x:c r="G31" s="24" t="n">
        <x:f>C31*E31</x:f>
        <x:v>122.7844436535681</x:v>
      </x:c>
      <x:c r="H31" s="24" t="n">
        <x:f>SUM(F31:G31)</x:f>
        <x:v>133.01648062469877</x:v>
      </x:c>
      <x:c r="I31" s="24" t="n">
        <x:f>F31*Inputs!$B$17+F30*Inputs!$B$18+F29*Inputs!$B$19+G31*Inputs!$B$20+G30*Inputs!$B$21</x:f>
        <x:v>132.44431436932325</x:v>
      </x:c>
      <x:c r="J31" s="24" t="n">
        <x:f>I31/E31</x:f>
        <x:v>64.72040452111838</x:v>
      </x:c>
      <x:c r="K31" s="24" t="n">
        <x:f>Inputs!$B$10*(L30+I31/2)</x:f>
        <x:v>199.95004288509128</x:v>
      </x:c>
      <x:c r="L31" s="24" t="n">
        <x:f>L30+I31+K31</x:f>
        <x:v>5264.923272197036</x:v>
      </x:c>
      <x:c r="M31" s="24" t="n">
        <x:f>SUM($D$2:D31)</x:f>
        <x:v>2046</x:v>
      </x:c>
      <x:c r="N31" s="24" t="n">
        <x:f>SUM($H$2:H31)</x:f>
        <x:v>2963.666617928421</x:v>
      </x:c>
      <x:c r="O31" s="24" t="n">
        <x:f>B31*Inputs!$B$13+C31*Inputs!$B$14</x:f>
        <x:v>55</x:v>
      </x:c>
      <x:c r="P31" s="24" t="n">
        <x:f>B31*Inputs!$B$15+C31*Inputs!$B$16</x:f>
        <x:v>81.75</x:v>
      </x:c>
      <x:c r="Q31" s="24" t="n">
        <x:f>O31*E31</x:f>
        <x:v>112.55240668243744</x:v>
      </x:c>
      <x:c r="R31" s="24" t="n">
        <x:f>P31*E31</x:f>
        <x:v>167.29380447798655</x:v>
      </x:c>
    </x:row>
  </x:sheetData>
  <x:pageMargins left="0.7" right="0.7" top="0.75" bottom="0.75" header="0.3" footer="0.3"/>
  <x:legacyDrawing xmlns:r="http://schemas.openxmlformats.org/officeDocument/2006/relationships" r:id="R41b7a95d7ec949b6"/>
</x:worksheet>
</file>

<file path=xl/worksheets/sheet4.xml><?xml version="1.0" encoding="utf-8"?>
<x:worksheet xmlns:x="http://schemas.openxmlformats.org/spreadsheetml/2006/main">
  <x:sheetFormatPr defaultRowHeight="15"/>
  <x:cols>
    <x:col min="1" max="1" width="42" hidden="0" customWidth="1"/>
    <x:col min="2" max="2" width="19" hidden="0" customWidth="1"/>
    <x:col min="3" max="3" width="19" hidden="0" customWidth="1"/>
    <x:col min="4" max="4" width="68" hidden="0" customWidth="1"/>
    <x:col min="5" max="5" width="19" hidden="0" customWidth="1"/>
  </x:cols>
  <x:sheetData>
    <x:row r="1" ht="38" customHeight="1">
      <x:c r="A1" s="7" t="str">
        <x:v>250-RESIDENT PERMANENT VILLAGE</x:v>
      </x:c>
      <x:c r="B1" s="7" t="str">
        <x:v>Value</x:v>
      </x:c>
      <x:c r="C1" s="7" t="str">
        <x:v>Units</x:v>
      </x:c>
      <x:c r="D1" s="7" t="str">
        <x:v>Basis</x:v>
      </x:c>
      <x:c r="E1" s="7"/>
    </x:row>
    <x:row r="2" ht="38" customHeight="1">
      <x:c r="A2" s="11" t="str">
        <x:v>Resident population</x:v>
      </x:c>
      <x:c r="B2" s="15" t="n">
        <x:v>250</x:v>
      </x:c>
      <x:c r="C2" s="16" t="str">
        <x:v>people</x:v>
      </x:c>
      <x:c r="D2" s="21" t="str">
        <x:v>Illustrative household mix below.</x:v>
      </x:c>
      <x:c r="E2" s="3"/>
    </x:row>
    <x:row r="3" ht="38" customHeight="1">
      <x:c r="A3" s="11" t="str">
        <x:v>Gross acres per resident</x:v>
      </x:c>
      <x:c r="B3" s="15" t="n">
        <x:v>0.05</x:v>
      </x:c>
      <x:c r="C3" s="16" t="str">
        <x:v>acres/person</x:v>
      </x:c>
      <x:c r="D3" s="21" t="str">
        <x:v>Planning assumption; not a legal minimum.</x:v>
      </x:c>
      <x:c r="E3" s="3"/>
    </x:row>
    <x:row r="4" ht="38" customHeight="1">
      <x:c r="A4" s="11" t="str">
        <x:v>Gross land</x:v>
      </x:c>
      <x:c r="B4" s="15" t="n">
        <x:f>B2*B3</x:f>
        <x:v>12.5</x:v>
      </x:c>
      <x:c r="C4" s="16" t="str">
        <x:v>acres</x:v>
      </x:c>
      <x:c r="D4" s="21" t="str">
        <x:v>Includes circulation and common facilities.</x:v>
      </x:c>
      <x:c r="E4" s="3"/>
    </x:row>
    <x:row r="5" ht="38" customHeight="1">
      <x:c r="A5" s="11" t="str">
        <x:v>Land price</x:v>
      </x:c>
      <x:c r="B5" s="15" t="n">
        <x:v>600000</x:v>
      </x:c>
      <x:c r="C5" s="16" t="str">
        <x:v>$/acre</x:v>
      </x:c>
      <x:c r="D5" s="21" t="str">
        <x:v>Scenario assumption; replace with a local appraisal.</x:v>
      </x:c>
      <x:c r="E5" s="3"/>
    </x:row>
    <x:row r="6" ht="66" customHeight="1">
      <x:c r="A6" s="11" t="str">
        <x:v>Private residential floor area</x:v>
      </x:c>
      <x:c r="B6" s="15" t="n">
        <x:v>78000</x:v>
      </x:c>
      <x:c r="C6" s="16" t="str">
        <x:v>square feet</x:v>
      </x:c>
      <x:c r="D6" s="21" t="str">
        <x:v>170 single homes; 10 couple homes; 5 adult-pair homes; 10 three-person family homes; 5 four-person family homes.</x:v>
      </x:c>
      <x:c r="E6" s="3"/>
    </x:row>
    <x:row r="7" ht="38" customHeight="1">
      <x:c r="A7" s="11" t="str">
        <x:v>Private fabrication rate</x:v>
      </x:c>
      <x:c r="B7" s="15" t="n">
        <x:v>250</x:v>
      </x:c>
      <x:c r="C7" s="16" t="str">
        <x:v>$/square foot</x:v>
      </x:c>
      <x:c r="D7" s="21" t="str">
        <x:v>Planning allowance; not a manufacturer quote.</x:v>
      </x:c>
      <x:c r="E7" s="3"/>
    </x:row>
    <x:row r="8" ht="38" customHeight="1">
      <x:c r="A8" s="11" t="str">
        <x:v>Common-building area</x:v>
      </x:c>
      <x:c r="B8" s="15" t="n">
        <x:v>12000</x:v>
      </x:c>
      <x:c r="C8" s="16" t="str">
        <x:v>square feet</x:v>
      </x:c>
      <x:c r="D8" s="21" t="str">
        <x:v>Program planning assumption.</x:v>
      </x:c>
      <x:c r="E8" s="3"/>
    </x:row>
    <x:row r="9" ht="38" customHeight="1">
      <x:c r="A9" s="11" t="str">
        <x:v>Common-building unit cost</x:v>
      </x:c>
      <x:c r="B9" s="15" t="n">
        <x:v>350</x:v>
      </x:c>
      <x:c r="C9" s="16" t="str">
        <x:v>$/square foot</x:v>
      </x:c>
      <x:c r="D9" s="21" t="str">
        <x:v>Program planning assumption.</x:v>
      </x:c>
      <x:c r="E9" s="3"/>
    </x:row>
    <x:row r="10" ht="38" customHeight="1">
      <x:c r="A10" s="11" t="str">
        <x:v>Permanent homes</x:v>
      </x:c>
      <x:c r="B10" s="15" t="n">
        <x:v>200</x:v>
      </x:c>
      <x:c r="C10" s="16" t="str">
        <x:v>homes</x:v>
      </x:c>
      <x:c r="D10" s="21" t="str">
        <x:v>200 households, 250 people.</x:v>
      </x:c>
      <x:c r="E10" s="3"/>
    </x:row>
    <x:row r="11" ht="38" customHeight="1">
      <x:c r="A11" s="11" t="str">
        <x:v>Capital contingency</x:v>
      </x:c>
      <x:c r="B11" s="33" t="n">
        <x:v>0.1</x:v>
      </x:c>
      <x:c r="C11" s="16" t="str">
        <x:v>fraction</x:v>
      </x:c>
      <x:c r="D11" s="21" t="str">
        <x:v>Applied to pre-contingency non-land costs.</x:v>
      </x:c>
      <x:c r="E11" s="3"/>
    </x:row>
    <x:row r="12" ht="38" customHeight="1">
      <x:c r="A12" s="11" t="str">
        <x:v>Startup / liquidity reserve</x:v>
      </x:c>
      <x:c r="B12" s="15" t="n">
        <x:v>1500000</x:v>
      </x:c>
      <x:c r="C12" s="16" t="str">
        <x:v>dollars</x:v>
      </x:c>
      <x:c r="D12" s="21" t="str">
        <x:v>Opening reserve balance, not a second operating expense.</x:v>
      </x:c>
      <x:c r="E12" s="3"/>
    </x:row>
    <x:row r="13" ht="38" customHeight="1">
      <x:c r="A13" s="11" t="str">
        <x:v>Continuous safety posts</x:v>
      </x:c>
      <x:c r="B13" s="15" t="n">
        <x:f>2+ROUNDUP(MAX(0,B2-150)/75,0)</x:f>
        <x:v>4</x:v>
      </x:c>
      <x:c r="C13" s="16" t="str">
        <x:v>posts</x:v>
      </x:c>
      <x:c r="D13" s="21" t="str">
        <x:v>Two through 150 residents, plus one per started block of 75 additional residents.</x:v>
      </x:c>
      <x:c r="E13" s="3"/>
    </x:row>
    <x:row r="14" ht="38" customHeight="1">
      <x:c r="A14" s="11" t="str">
        <x:v>High-acuity household share</x:v>
      </x:c>
      <x:c r="B14" s="33" t="n">
        <x:v>0.4</x:v>
      </x:c>
      <x:c r="C14" s="16" t="str">
        <x:v>fraction</x:v>
      </x:c>
      <x:c r="D14" s="21" t="str">
        <x:v>Illustrative service mix, not a population finding.</x:v>
      </x:c>
      <x:c r="E14" s="3"/>
    </x:row>
    <x:row r="15" ht="38" customHeight="1">
      <x:c r="A15" s="11" t="str">
        <x:v>Annual resident rent per home</x:v>
      </x:c>
      <x:c r="B15" s="15" t="n">
        <x:v>2400</x:v>
      </x:c>
      <x:c r="C15" s="16" t="str">
        <x:v>$/home/year</x:v>
      </x:c>
      <x:c r="D15" s="21" t="str">
        <x:v>Illustrative receipt, not an imposed minimum rent.</x:v>
      </x:c>
      <x:c r="E15" s="3"/>
    </x:row>
    <x:row r="16" ht="38" customHeight="1">
      <x:c r="A16" s="11" t="str">
        <x:v>Operating contingency</x:v>
      </x:c>
      <x:c r="B16" s="33" t="n">
        <x:v>0.05</x:v>
      </x:c>
      <x:c r="C16" s="16" t="str">
        <x:v>fraction</x:v>
      </x:c>
      <x:c r="D16" s="21" t="str">
        <x:v>Planning assumption.</x:v>
      </x:c>
      <x:c r="E16" s="3"/>
    </x:row>
    <x:row r="17" ht="38" customHeight="1">
      <x:c r="A17" s="11"/>
      <x:c r="B17" s="15"/>
      <x:c r="C17" s="16"/>
      <x:c r="D17" s="21"/>
      <x:c r="E17" s="3"/>
    </x:row>
    <x:row r="18" ht="38" customHeight="1">
      <x:c r="A18" s="11"/>
      <x:c r="B18" s="15"/>
      <x:c r="C18" s="16"/>
      <x:c r="D18" s="21"/>
      <x:c r="E18" s="3"/>
    </x:row>
    <x:row r="19" ht="38" customHeight="1">
      <x:c r="A19" s="11" t="str">
        <x:v>Land</x:v>
      </x:c>
      <x:c r="B19" s="15" t="n">
        <x:f>B4*B5</x:f>
        <x:v>7500000</x:v>
      </x:c>
      <x:c r="C19" s="16"/>
      <x:c r="D19" s="21"/>
      <x:c r="E19" s="3"/>
    </x:row>
    <x:row r="20" ht="38" customHeight="1">
      <x:c r="A20" s="11" t="str">
        <x:v>Private dwelling fabrication</x:v>
      </x:c>
      <x:c r="B20" s="15" t="n">
        <x:f>B6*B7</x:f>
        <x:v>19500000</x:v>
      </x:c>
      <x:c r="C20" s="16"/>
      <x:c r="D20" s="21"/>
      <x:c r="E20" s="3"/>
    </x:row>
    <x:row r="21" ht="38" customHeight="1">
      <x:c r="A21" s="11" t="str">
        <x:v>Transport and foundations</x:v>
      </x:c>
      <x:c r="B21" s="15" t="n">
        <x:v>3000000</x:v>
      </x:c>
      <x:c r="C21" s="16"/>
      <x:c r="D21" s="21"/>
      <x:c r="E21" s="3"/>
    </x:row>
    <x:row r="22" ht="38" customHeight="1">
      <x:c r="A22" s="11" t="str">
        <x:v>Site utilities, roads, and drainage</x:v>
      </x:c>
      <x:c r="B22" s="15" t="n">
        <x:v>6000000</x:v>
      </x:c>
      <x:c r="C22" s="16"/>
      <x:c r="D22" s="21"/>
      <x:c r="E22" s="3"/>
    </x:row>
    <x:row r="23" ht="38" customHeight="1">
      <x:c r="A23" s="11" t="str">
        <x:v>Common service building</x:v>
      </x:c>
      <x:c r="B23" s="15" t="n">
        <x:f>B8*B9</x:f>
        <x:v>4200000</x:v>
      </x:c>
      <x:c r="C23" s="16"/>
      <x:c r="D23" s="21"/>
      <x:c r="E23" s="3"/>
    </x:row>
    <x:row r="24" ht="38" customHeight="1">
      <x:c r="A24" s="11" t="str">
        <x:v>Environmental, geotechnical, and survey</x:v>
      </x:c>
      <x:c r="B24" s="15" t="n">
        <x:v>500000</x:v>
      </x:c>
      <x:c r="C24" s="16"/>
      <x:c r="D24" s="21"/>
      <x:c r="E24" s="3"/>
    </x:row>
    <x:row r="25" ht="38" customHeight="1">
      <x:c r="A25" s="11" t="str">
        <x:v>Design, engineering, and permitting</x:v>
      </x:c>
      <x:c r="B25" s="15" t="n">
        <x:v>2500000</x:v>
      </x:c>
      <x:c r="C25" s="16"/>
      <x:c r="D25" s="21"/>
      <x:c r="E25" s="3"/>
    </x:row>
    <x:row r="26" ht="38" customHeight="1">
      <x:c r="A26" s="11" t="str">
        <x:v>Furnishings and digital systems</x:v>
      </x:c>
      <x:c r="B26" s="15" t="n">
        <x:v>1200000</x:v>
      </x:c>
      <x:c r="C26" s="16"/>
      <x:c r="D26" s="21"/>
      <x:c r="E26" s="3"/>
    </x:row>
    <x:row r="27" ht="38" customHeight="1">
      <x:c r="A27" s="11" t="str">
        <x:v>Construction insurance and financing</x:v>
      </x:c>
      <x:c r="B27" s="15" t="n">
        <x:v>900000</x:v>
      </x:c>
      <x:c r="C27" s="16"/>
      <x:c r="D27" s="21"/>
      <x:c r="E27" s="3"/>
    </x:row>
    <x:row r="28" ht="38" customHeight="1">
      <x:c r="A28" s="11" t="str">
        <x:v>Owner project management</x:v>
      </x:c>
      <x:c r="B28" s="15" t="n">
        <x:v>1200000</x:v>
      </x:c>
      <x:c r="C28" s="16"/>
      <x:c r="D28" s="21"/>
      <x:c r="E28" s="3"/>
    </x:row>
    <x:row r="29" ht="38" customHeight="1">
      <x:c r="A29" s="11"/>
      <x:c r="B29" s="15"/>
      <x:c r="C29" s="16"/>
      <x:c r="D29" s="21"/>
      <x:c r="E29" s="3"/>
    </x:row>
    <x:row r="30" ht="38" customHeight="1">
      <x:c r="A30" s="11" t="str">
        <x:v>Subtotal</x:v>
      </x:c>
      <x:c r="B30" s="15" t="n">
        <x:f>SUM(B19:B28)</x:f>
        <x:v>46500000</x:v>
      </x:c>
      <x:c r="C30" s="16"/>
      <x:c r="D30" s="21"/>
      <x:c r="E30" s="3"/>
    </x:row>
    <x:row r="31" ht="38" customHeight="1">
      <x:c r="A31" s="11" t="str">
        <x:v>Non-land contingency</x:v>
      </x:c>
      <x:c r="B31" s="15" t="n">
        <x:f>(B30-B19)*B11</x:f>
        <x:v>3900000</x:v>
      </x:c>
      <x:c r="C31" s="16"/>
      <x:c r="D31" s="21"/>
      <x:c r="E31" s="3"/>
    </x:row>
    <x:row r="32" ht="38" customHeight="1">
      <x:c r="A32" s="11" t="str">
        <x:v>Startup / liquidity reserve</x:v>
      </x:c>
      <x:c r="B32" s="15" t="n">
        <x:f>B12</x:f>
        <x:v>1500000</x:v>
      </x:c>
      <x:c r="C32" s="16"/>
      <x:c r="D32" s="21"/>
      <x:c r="E32" s="3"/>
    </x:row>
    <x:row r="33" ht="38" customHeight="1">
      <x:c r="A33" s="7" t="str">
        <x:v>TOTAL CAPITAL</x:v>
      </x:c>
      <x:c r="B33" s="41" t="n">
        <x:f>SUM(B30:B32)</x:f>
        <x:v>51900000</x:v>
      </x:c>
      <x:c r="C33" s="41"/>
      <x:c r="D33" s="41"/>
      <x:c r="E33" s="7"/>
    </x:row>
    <x:row r="34" ht="38" customHeight="1">
      <x:c r="A34" s="11" t="str">
        <x:v>Capital per home</x:v>
      </x:c>
      <x:c r="B34" s="15" t="n">
        <x:f>B33/B10</x:f>
        <x:v>259500</x:v>
      </x:c>
      <x:c r="C34" s="16"/>
      <x:c r="D34" s="21"/>
      <x:c r="E34" s="3"/>
    </x:row>
    <x:row r="35" ht="38" customHeight="1">
      <x:c r="A35" s="11" t="str">
        <x:v>Capital per resident</x:v>
      </x:c>
      <x:c r="B35" s="15" t="n">
        <x:f>B33/B2</x:f>
        <x:v>207600</x:v>
      </x:c>
      <x:c r="C35" s="16"/>
      <x:c r="D35" s="21"/>
      <x:c r="E35" s="3"/>
    </x:row>
    <x:row r="36" ht="38" customHeight="1">
      <x:c r="A36" s="11"/>
      <x:c r="B36" s="15"/>
      <x:c r="C36" s="16"/>
      <x:c r="D36" s="21"/>
      <x:c r="E36" s="3"/>
    </x:row>
    <x:row r="37" ht="38" customHeight="1">
      <x:c r="A37" s="11"/>
      <x:c r="B37" s="15"/>
      <x:c r="C37" s="16"/>
      <x:c r="D37" s="21"/>
      <x:c r="E37" s="3"/>
    </x:row>
    <x:row r="38" ht="38" customHeight="1">
      <x:c r="A38" s="7" t="str">
        <x:v>Village residents</x:v>
      </x:c>
      <x:c r="B38" s="41" t="str">
        <x:v>Gross acres</x:v>
      </x:c>
      <x:c r="C38" s="41" t="str">
        <x:v>Land @ $150k/acre</x:v>
      </x:c>
      <x:c r="D38" s="41" t="str">
        <x:v>Land @ $600k/acre</x:v>
      </x:c>
      <x:c r="E38" s="7" t="str">
        <x:v>Land @ $2m/acre</x:v>
      </x:c>
    </x:row>
    <x:row r="39" ht="38" customHeight="1">
      <x:c r="A39" s="11" t="n">
        <x:v>150</x:v>
      </x:c>
      <x:c r="B39" s="15" t="n">
        <x:f>A39*$B$3</x:f>
        <x:v>7.5</x:v>
      </x:c>
      <x:c r="C39" s="16" t="n">
        <x:f>B39*Inputs!$B$22</x:f>
        <x:v>1125000</x:v>
      </x:c>
      <x:c r="D39" s="21" t="n">
        <x:f>B39*$B$5</x:f>
        <x:v>4500000</x:v>
      </x:c>
      <x:c r="E39" s="3" t="n">
        <x:f>B39*Inputs!$B$23</x:f>
        <x:v>15000000</x:v>
      </x:c>
    </x:row>
    <x:row r="40" ht="38" customHeight="1">
      <x:c r="A40" s="11" t="n">
        <x:v>250</x:v>
      </x:c>
      <x:c r="B40" s="15" t="n">
        <x:f>A40*$B$3</x:f>
        <x:v>12.5</x:v>
      </x:c>
      <x:c r="C40" s="16" t="n">
        <x:f>B40*Inputs!$B$22</x:f>
        <x:v>1875000</x:v>
      </x:c>
      <x:c r="D40" s="21" t="n">
        <x:f>B40*$B$5</x:f>
        <x:v>7500000</x:v>
      </x:c>
      <x:c r="E40" s="3" t="n">
        <x:f>B40*Inputs!$B$23</x:f>
        <x:v>25000000</x:v>
      </x:c>
    </x:row>
    <x:row r="41" ht="38" customHeight="1">
      <x:c r="A41" s="11" t="n">
        <x:v>300</x:v>
      </x:c>
      <x:c r="B41" s="15" t="n">
        <x:f>A41*$B$3</x:f>
        <x:v>15</x:v>
      </x:c>
      <x:c r="C41" s="16" t="n">
        <x:f>B41*Inputs!$B$22</x:f>
        <x:v>2250000</x:v>
      </x:c>
      <x:c r="D41" s="21" t="n">
        <x:f>B41*$B$5</x:f>
        <x:v>9000000</x:v>
      </x:c>
      <x:c r="E41" s="3" t="n">
        <x:f>B41*Inputs!$B$23</x:f>
        <x:v>30000000</x:v>
      </x:c>
    </x:row>
  </x:sheetData>
  <x:pageMargins left="0.7" right="0.7" top="0.75" bottom="0.75" header="0.3" footer="0.3"/>
  <x:legacyDrawing xmlns:r="http://schemas.openxmlformats.org/officeDocument/2006/relationships" r:id="R1dabe12922dc4e90"/>
</x:worksheet>
</file>

<file path=xl/worksheets/sheet5.xml><?xml version="1.0" encoding="utf-8"?>
<x:worksheet xmlns:x="http://schemas.openxmlformats.org/spreadsheetml/2006/main">
  <x:sheetFormatPr defaultRowHeight="15"/>
  <x:cols>
    <x:col min="1" max="1" width="42" hidden="0" customWidth="1"/>
    <x:col min="2" max="2" width="19" hidden="0" customWidth="1"/>
    <x:col min="3" max="3" width="19" hidden="0" customWidth="1"/>
    <x:col min="4" max="4" width="19" hidden="0" customWidth="1"/>
    <x:col min="5" max="5" width="43" hidden="0" customWidth="1"/>
  </x:cols>
  <x:sheetData>
    <x:row r="1" ht="38" customHeight="1">
      <x:c r="A1" s="7" t="str">
        <x:v>Role / cost</x:v>
      </x:c>
      <x:c r="B1" s="7" t="str">
        <x:v>FTE / quantity</x:v>
      </x:c>
      <x:c r="C1" s="7" t="str">
        <x:v>Loaded annual cost</x:v>
      </x:c>
      <x:c r="D1" s="7" t="str">
        <x:v>Annual total</x:v>
      </x:c>
      <x:c r="E1" s="7" t="str">
        <x:v>Basis</x:v>
      </x:c>
    </x:row>
    <x:row r="2" ht="36" customHeight="1">
      <x:c r="A2" s="11" t="str">
        <x:v>Site director</x:v>
      </x:c>
      <x:c r="B2" s="15" t="n">
        <x:v>1</x:v>
      </x:c>
      <x:c r="C2" s="16" t="n">
        <x:v>140000</x:v>
      </x:c>
      <x:c r="D2" s="16" t="n">
        <x:f>B2*C2</x:f>
        <x:v>140000</x:v>
      </x:c>
      <x:c r="E2" s="11" t="str">
        <x:v>Illustrative 250-person / 200-home prototype</x:v>
      </x:c>
    </x:row>
    <x:row r="3" ht="36" customHeight="1">
      <x:c r="A3" s="11" t="str">
        <x:v>Property management and administration</x:v>
      </x:c>
      <x:c r="B3" s="15" t="n">
        <x:v>2</x:v>
      </x:c>
      <x:c r="C3" s="16" t="n">
        <x:v>100000</x:v>
      </x:c>
      <x:c r="D3" s="16" t="n">
        <x:f>B3*C3</x:f>
        <x:v>200000</x:v>
      </x:c>
      <x:c r="E3" s="11" t="str">
        <x:v>Illustrative 250-person / 200-home prototype</x:v>
      </x:c>
    </x:row>
    <x:row r="4" ht="36" customHeight="1">
      <x:c r="A4" s="11" t="str">
        <x:v>Maintenance</x:v>
      </x:c>
      <x:c r="B4" s="15" t="n">
        <x:v>3</x:v>
      </x:c>
      <x:c r="C4" s="16" t="n">
        <x:v>90000</x:v>
      </x:c>
      <x:c r="D4" s="16" t="n">
        <x:f>B4*C4</x:f>
        <x:v>270000</x:v>
      </x:c>
      <x:c r="E4" s="11" t="str">
        <x:v>Illustrative 250-person / 200-home prototype</x:v>
      </x:c>
    </x:row>
    <x:row r="5" ht="36" customHeight="1">
      <x:c r="A5" s="11" t="str">
        <x:v>Cleaning and grounds</x:v>
      </x:c>
      <x:c r="B5" s="15" t="n">
        <x:v>2</x:v>
      </x:c>
      <x:c r="C5" s="16" t="n">
        <x:v>70000</x:v>
      </x:c>
      <x:c r="D5" s="16" t="n">
        <x:f>B5*C5</x:f>
        <x:v>140000</x:v>
      </x:c>
      <x:c r="E5" s="11" t="str">
        <x:v>Illustrative 250-person / 200-home prototype</x:v>
      </x:c>
    </x:row>
    <x:row r="6" ht="36" customHeight="1">
      <x:c r="A6" s="11" t="str">
        <x:v>Case managers</x:v>
      </x:c>
      <x:c r="B6" s="15" t="n">
        <x:f>ROUNDUP(Village!$B$10*Village!$B$14/Inputs!$B$24,0)+ROUNDUP(Village!$B$10*(1-Village!$B$14)/Inputs!$B$25,0)</x:f>
        <x:v>11</x:v>
      </x:c>
      <x:c r="C6" s="16" t="n">
        <x:v>105000</x:v>
      </x:c>
      <x:c r="D6" s="16" t="n">
        <x:f>B6*C6</x:f>
        <x:v>1155000</x:v>
      </x:c>
      <x:c r="E6" s="11" t="str">
        <x:v>Illustrative 250-person / 200-home prototype</x:v>
      </x:c>
    </x:row>
    <x:row r="7" ht="36" customHeight="1">
      <x:c r="A7" s="11" t="str">
        <x:v>Clinical/service supervisor</x:v>
      </x:c>
      <x:c r="B7" s="15" t="n">
        <x:v>1</x:v>
      </x:c>
      <x:c r="C7" s="16" t="n">
        <x:v>140000</x:v>
      </x:c>
      <x:c r="D7" s="16" t="n">
        <x:f>B7*C7</x:f>
        <x:v>140000</x:v>
      </x:c>
      <x:c r="E7" s="11" t="str">
        <x:v>Illustrative 250-person / 200-home prototype</x:v>
      </x:c>
    </x:row>
    <x:row r="8" ht="36" customHeight="1">
      <x:c r="A8" s="11" t="str">
        <x:v>Peer support</x:v>
      </x:c>
      <x:c r="B8" s="15" t="n">
        <x:v>4</x:v>
      </x:c>
      <x:c r="C8" s="16" t="n">
        <x:v>80000</x:v>
      </x:c>
      <x:c r="D8" s="16" t="n">
        <x:f>B8*C8</x:f>
        <x:v>320000</x:v>
      </x:c>
      <x:c r="E8" s="11" t="str">
        <x:v>Illustrative 250-person / 200-home prototype</x:v>
      </x:c>
    </x:row>
    <x:row r="9" ht="36" customHeight="1">
      <x:c r="A9" s="11" t="str">
        <x:v>Employment and community specialists</x:v>
      </x:c>
      <x:c r="B9" s="15" t="n">
        <x:v>2</x:v>
      </x:c>
      <x:c r="C9" s="16" t="n">
        <x:v>100000</x:v>
      </x:c>
      <x:c r="D9" s="16" t="n">
        <x:f>B9*C9</x:f>
        <x:v>200000</x:v>
      </x:c>
      <x:c r="E9" s="11" t="str">
        <x:v>Illustrative 250-person / 200-home prototype</x:v>
      </x:c>
    </x:row>
    <x:row r="10" ht="36" customHeight="1">
      <x:c r="A10" s="11" t="str">
        <x:v>Registered nurses</x:v>
      </x:c>
      <x:c r="B10" s="15" t="n">
        <x:v>2</x:v>
      </x:c>
      <x:c r="C10" s="16" t="n">
        <x:v>145000</x:v>
      </x:c>
      <x:c r="D10" s="16" t="n">
        <x:f>B10*C10</x:f>
        <x:v>290000</x:v>
      </x:c>
      <x:c r="E10" s="11" t="str">
        <x:v>Illustrative 250-person / 200-home prototype</x:v>
      </x:c>
    </x:row>
    <x:row r="11" ht="36" customHeight="1">
      <x:c r="A11" s="11" t="str">
        <x:v>Licensed therapists</x:v>
      </x:c>
      <x:c r="B11" s="15" t="n">
        <x:v>2</x:v>
      </x:c>
      <x:c r="C11" s="16" t="n">
        <x:v>140000</x:v>
      </x:c>
      <x:c r="D11" s="16" t="n">
        <x:f>B11*C11</x:f>
        <x:v>280000</x:v>
      </x:c>
      <x:c r="E11" s="11" t="str">
        <x:v>Illustrative 250-person / 200-home prototype</x:v>
      </x:c>
    </x:row>
    <x:row r="12" ht="36" customHeight="1">
      <x:c r="A12" s="11" t="str">
        <x:v>Prescriber</x:v>
      </x:c>
      <x:c r="B12" s="15" t="n">
        <x:v>0.5</x:v>
      </x:c>
      <x:c r="C12" s="16" t="n">
        <x:v>320000</x:v>
      </x:c>
      <x:c r="D12" s="16" t="n">
        <x:f>B12*C12</x:f>
        <x:v>160000</x:v>
      </x:c>
      <x:c r="E12" s="11" t="str">
        <x:v>Illustrative 250-person / 200-home prototype</x:v>
      </x:c>
    </x:row>
    <x:row r="13" ht="36" customHeight="1">
      <x:c r="A13" s="11" t="str">
        <x:v>24-hour stabilization and safety</x:v>
      </x:c>
      <x:c r="B13" s="15" t="n">
        <x:f>Village!$B$13*Inputs!$B$12/Inputs!$B$11</x:f>
        <x:v>20.857142857142858</x:v>
      </x:c>
      <x:c r="C13" s="16" t="n">
        <x:v>80000</x:v>
      </x:c>
      <x:c r="D13" s="16" t="n">
        <x:f>B13*C13</x:f>
        <x:v>1668571.4285714286</x:v>
      </x:c>
      <x:c r="E13" s="11" t="str">
        <x:v>Illustrative 250-person / 200-home prototype</x:v>
      </x:c>
    </x:row>
    <x:row r="14" ht="38" customHeight="1">
      <x:c r="A14" s="7" t="str">
        <x:v>TOTAL STAFF</x:v>
      </x:c>
      <x:c r="B14" s="41" t="n">
        <x:f>SUM(B2:B13)</x:f>
        <x:v>51.35714285714286</x:v>
      </x:c>
      <x:c r="C14" s="41"/>
      <x:c r="D14" s="41" t="n">
        <x:f>SUM(D2:D13)</x:f>
        <x:v>4963571.428571429</x:v>
      </x:c>
      <x:c r="E14" s="7"/>
    </x:row>
    <x:row r="15" ht="36" customHeight="1">
      <x:c r="A15" s="11"/>
      <x:c r="B15" s="15"/>
      <x:c r="C15" s="16"/>
      <x:c r="D15" s="16"/>
      <x:c r="E15" s="11"/>
    </x:row>
    <x:row r="16" ht="36" customHeight="1">
      <x:c r="A16" s="11"/>
      <x:c r="B16" s="15"/>
      <x:c r="C16" s="16"/>
      <x:c r="D16" s="16"/>
      <x:c r="E16" s="11"/>
    </x:row>
    <x:row r="17" ht="36" customHeight="1">
      <x:c r="A17" s="11" t="str">
        <x:v>Offsite urgent care and withdrawal contracts</x:v>
      </x:c>
      <x:c r="B17" s="15"/>
      <x:c r="C17" s="16"/>
      <x:c r="D17" s="16" t="n">
        <x:v>650000</x:v>
      </x:c>
      <x:c r="E17" s="11"/>
    </x:row>
    <x:row r="18" ht="36" customHeight="1">
      <x:c r="A18" s="11" t="str">
        <x:v>Utilities and internet</x:v>
      </x:c>
      <x:c r="B18" s="15"/>
      <x:c r="C18" s="16"/>
      <x:c r="D18" s="16" t="n">
        <x:v>600000</x:v>
      </x:c>
      <x:c r="E18" s="11"/>
    </x:row>
    <x:row r="19" ht="36" customHeight="1">
      <x:c r="A19" s="11" t="str">
        <x:v>Insurance</x:v>
      </x:c>
      <x:c r="B19" s="15"/>
      <x:c r="C19" s="16"/>
      <x:c r="D19" s="16" t="n">
        <x:v>350000</x:v>
      </x:c>
      <x:c r="E19" s="11"/>
    </x:row>
    <x:row r="20" ht="36" customHeight="1">
      <x:c r="A20" s="11" t="str">
        <x:v>Repairs and supplies</x:v>
      </x:c>
      <x:c r="B20" s="15"/>
      <x:c r="C20" s="16"/>
      <x:c r="D20" s="16" t="n">
        <x:v>300000</x:v>
      </x:c>
      <x:c r="E20" s="11"/>
    </x:row>
    <x:row r="21" ht="36" customHeight="1">
      <x:c r="A21" s="11" t="str">
        <x:v>Component replacement reserve</x:v>
      </x:c>
      <x:c r="B21" s="15"/>
      <x:c r="C21" s="16"/>
      <x:c r="D21" s="16" t="n">
        <x:v>400000</x:v>
      </x:c>
      <x:c r="E21" s="11"/>
    </x:row>
    <x:row r="22" ht="36" customHeight="1">
      <x:c r="A22" s="11" t="str">
        <x:v>Transport, childcare, and community support</x:v>
      </x:c>
      <x:c r="B22" s="15"/>
      <x:c r="C22" s="16"/>
      <x:c r="D22" s="16" t="n">
        <x:v>450000</x:v>
      </x:c>
      <x:c r="E22" s="11"/>
    </x:row>
    <x:row r="23" ht="36" customHeight="1">
      <x:c r="A23" s="11" t="str">
        <x:v>IT, audits, and training materials</x:v>
      </x:c>
      <x:c r="B23" s="15"/>
      <x:c r="C23" s="16"/>
      <x:c r="D23" s="16" t="n">
        <x:v>180000</x:v>
      </x:c>
      <x:c r="E23" s="11"/>
    </x:row>
    <x:row r="24" ht="36" customHeight="1">
      <x:c r="A24" s="11"/>
      <x:c r="B24" s="15"/>
      <x:c r="C24" s="16"/>
      <x:c r="D24" s="16"/>
      <x:c r="E24" s="11"/>
    </x:row>
    <x:row r="25" ht="36" customHeight="1">
      <x:c r="A25" s="11" t="str">
        <x:v>Operating subtotal</x:v>
      </x:c>
      <x:c r="B25" s="15"/>
      <x:c r="C25" s="16"/>
      <x:c r="D25" s="16" t="n">
        <x:f>D14+SUM(D17:D23)</x:f>
        <x:v>7893571.428571429</x:v>
      </x:c>
      <x:c r="E25" s="11"/>
    </x:row>
    <x:row r="26" ht="36" customHeight="1">
      <x:c r="A26" s="11" t="str">
        <x:v>Contingency rate</x:v>
      </x:c>
      <x:c r="B26" s="15"/>
      <x:c r="C26" s="16"/>
      <x:c r="D26" s="35" t="n">
        <x:f>Village!$B$16</x:f>
        <x:v>0.05</x:v>
      </x:c>
      <x:c r="E26" s="11"/>
    </x:row>
    <x:row r="27" ht="38" customHeight="1">
      <x:c r="A27" s="7" t="str">
        <x:v>Gross annual operations</x:v>
      </x:c>
      <x:c r="B27" s="41"/>
      <x:c r="C27" s="41"/>
      <x:c r="D27" s="41" t="n">
        <x:f>D25*(1+D26)</x:f>
        <x:v>8288250.000000001</x:v>
      </x:c>
      <x:c r="E27" s="7"/>
    </x:row>
    <x:row r="28" ht="36" customHeight="1">
      <x:c r="A28" s="11" t="str">
        <x:v>Resident rent receipts</x:v>
      </x:c>
      <x:c r="B28" s="15"/>
      <x:c r="C28" s="16"/>
      <x:c r="D28" s="16" t="n">
        <x:f>Village!$B$10*Village!$B$15</x:f>
        <x:v>480000</x:v>
      </x:c>
      <x:c r="E28" s="11"/>
    </x:row>
    <x:row r="29" ht="38" customHeight="1">
      <x:c r="A29" s="7" t="str">
        <x:v>Net annual program support</x:v>
      </x:c>
      <x:c r="B29" s="41"/>
      <x:c r="C29" s="41"/>
      <x:c r="D29" s="41" t="n">
        <x:f>D27-D28</x:f>
        <x:v>7808250.000000001</x:v>
      </x:c>
      <x:c r="E29" s="7"/>
    </x:row>
  </x:sheetData>
  <x:pageMargins left="0.7" right="0.7" top="0.75" bottom="0.75" header="0.3" footer="0.3"/>
</x:worksheet>
</file>

<file path=xl/worksheets/sheet6.xml><?xml version="1.0" encoding="utf-8"?>
<x:worksheet xmlns:x="http://schemas.openxmlformats.org/spreadsheetml/2006/main">
  <x:sheetFormatPr defaultRowHeight="15"/>
  <x:cols>
    <x:col min="1" max="1" width="45" hidden="0" customWidth="1"/>
    <x:col min="2" max="2" width="18" hidden="0" customWidth="1"/>
    <x:col min="3" max="3" width="62" hidden="0" customWidth="1"/>
    <x:col min="4" max="4" width="18" hidden="0" customWidth="1"/>
    <x:col min="5" max="5" width="66" hidden="0" customWidth="1"/>
  </x:cols>
  <x:sheetData>
    <x:row r="1" ht="38" customHeight="1">
      <x:c r="A1" s="66" t="str">
        <x:v>CAPITAL BUILD-OUT</x:v>
      </x:c>
      <x:c r="B1" s="66" t="str">
        <x:v>Units</x:v>
      </x:c>
      <x:c r="C1" s="66" t="str">
        <x:v>Base cost per unit</x:v>
      </x:c>
      <x:c r="D1" s="66" t="str">
        <x:v>Amount, $B</x:v>
      </x:c>
      <x:c r="E1" s="66" t="str">
        <x:v>Basis</x:v>
      </x:c>
    </x:row>
    <x:row r="2" ht="42" customHeight="1">
      <x:c r="A2" s="57" t="str">
        <x:v>Factory-built permanent homes</x:v>
      </x:c>
      <x:c r="B2" s="61" t="n">
        <x:v>300000</x:v>
      </x:c>
      <x:c r="C2" s="61" t="n">
        <x:v>225000</x:v>
      </x:c>
      <x:c r="D2" s="63" t="n">
        <x:f>B2*C2/1000000000</x:f>
        <x:v>67.5</x:v>
      </x:c>
      <x:c r="E2" s="57" t="str">
        <x:v>All-in planning allowance, including land and local shared facilities.</x:v>
      </x:c>
    </x:row>
    <x:row r="3" ht="42" customHeight="1">
      <x:c r="A3" s="57" t="str">
        <x:v>Acquisition / rehabilitation</x:v>
      </x:c>
      <x:c r="B3" s="61" t="n">
        <x:v>200000</x:v>
      </x:c>
      <x:c r="C3" s="61" t="n">
        <x:v>300000</x:v>
      </x:c>
      <x:c r="D3" s="63" t="n">
        <x:f>B3*C3/1000000000</x:f>
        <x:v>60</x:v>
      </x:c>
      <x:c r="E3" s="57" t="str">
        <x:v>All-in planning allowance; existing occupants cannot be displaced to claim new capacity.</x:v>
      </x:c>
    </x:row>
    <x:row r="4" ht="42" customHeight="1">
      <x:c r="A4" s="57" t="str">
        <x:v>Infill and larger family construction</x:v>
      </x:c>
      <x:c r="B4" s="61" t="n">
        <x:v>100000</x:v>
      </x:c>
      <x:c r="C4" s="61" t="n">
        <x:v>450000</x:v>
      </x:c>
      <x:c r="D4" s="63" t="n">
        <x:f>B4*C4/1000000000</x:f>
        <x:v>45</x:v>
      </x:c>
      <x:c r="E4" s="57" t="str">
        <x:v>All-in planning allowance; regional variance can be substantial.</x:v>
      </x:c>
    </x:row>
    <x:row r="5" ht="42" customHeight="1">
      <x:c r="A5" s="57" t="str">
        <x:v>Base permanent capital</x:v>
      </x:c>
      <x:c r="B5" s="57"/>
      <x:c r="C5" s="57"/>
      <x:c r="D5" s="63" t="n">
        <x:f>SUM(D2:D4)</x:f>
        <x:v>172.5</x:v>
      </x:c>
      <x:c r="E5" s="57" t="str">
        <x:v>Sum of three permanent-delivery methods.</x:v>
      </x:c>
    </x:row>
    <x:row r="6" ht="42" customHeight="1">
      <x:c r="A6" s="57" t="str">
        <x:v>Regional contingency and extraordinary costs</x:v>
      </x:c>
      <x:c r="B6" s="57"/>
      <x:c r="C6" s="57"/>
      <x:c r="D6" s="63" t="n">
        <x:v>27.5</x:v>
      </x:c>
      <x:c r="E6" s="57" t="str">
        <x:v>Not additional per-home construction costs already included above.</x:v>
      </x:c>
    </x:row>
    <x:row r="7" ht="38" customHeight="1">
      <x:c r="A7" s="66" t="str">
        <x:v>TOTAL PERMANENT CAPITAL</x:v>
      </x:c>
      <x:c r="B7" s="66"/>
      <x:c r="C7" s="66"/>
      <x:c r="D7" s="70" t="n">
        <x:f>SUM(D5:D6)</x:f>
        <x:v>200</x:v>
      </x:c>
      <x:c r="E7" s="66" t="str">
        <x:v>Includes on-site land, utility work, furnishing, local common space and commissioning.</x:v>
      </x:c>
    </x:row>
    <x:row r="8" ht="42" customHeight="1">
      <x:c r="A8" s="57" t="str">
        <x:v>Bridge and clinical capital</x:v>
      </x:c>
      <x:c r="B8" s="57" t="n">
        <x:v>100000</x:v>
      </x:c>
      <x:c r="C8" s="57" t="n">
        <x:v>150000</x:v>
      </x:c>
      <x:c r="D8" s="63" t="n">
        <x:f>B8*C8/1000000000</x:f>
        <x:v>15</x:v>
      </x:c>
      <x:c r="E8" s="57" t="str">
        <x:v>New or converted spaces; not a second permanent-unit count.</x:v>
      </x:c>
    </x:row>
    <x:row r="9" ht="42" customHeight="1">
      <x:c r="A9" s="57" t="str">
        <x:v>Standalone clinical / workforce hubs</x:v>
      </x:c>
      <x:c r="B9" s="57"/>
      <x:c r="C9" s="57"/>
      <x:c r="D9" s="63" t="n">
        <x:v>10</x:v>
      </x:c>
      <x:c r="E9" s="57" t="str">
        <x:v>Only separately justified facilities, not common rooms already in housing budgets.</x:v>
      </x:c>
    </x:row>
    <x:row r="10" ht="42" customHeight="1">
      <x:c r="A10" s="57" t="str">
        <x:v>Off-site infrastructure and future land bank</x:v>
      </x:c>
      <x:c r="B10" s="57"/>
      <x:c r="C10" s="57"/>
      <x:c r="D10" s="63" t="n">
        <x:v>10</x:v>
      </x:c>
      <x:c r="E10" s="57" t="str">
        <x:v>$6B off-site infrastructure; $4B prospective land/site control. No duplicate site acquisition billing.</x:v>
      </x:c>
    </x:row>
    <x:row r="11" ht="42" customHeight="1">
      <x:c r="A11" s="57" t="str">
        <x:v>Manufacturing and construction workforce capacity</x:v>
      </x:c>
      <x:c r="B11" s="57"/>
      <x:c r="C11" s="57"/>
      <x:c r="D11" s="63" t="n">
        <x:v>5</x:v>
      </x:c>
      <x:c r="E11" s="57" t="str">
        <x:v>Capacity grants; no guarantee authority or unscored federal credit subsidy.</x:v>
      </x:c>
    </x:row>
    <x:row r="12" ht="42" customHeight="1">
      <x:c r="A12" s="57"/>
      <x:c r="B12" s="57"/>
      <x:c r="C12" s="57"/>
      <x:c r="D12" s="63"/>
      <x:c r="E12" s="57"/>
    </x:row>
    <x:row r="13" ht="38" customHeight="1">
      <x:c r="A13" s="66" t="str">
        <x:v>TOTAL EIGHT-YEAR CAPITAL</x:v>
      </x:c>
      <x:c r="B13" s="66"/>
      <x:c r="C13" s="66"/>
      <x:c r="D13" s="70" t="n">
        <x:f>D7+SUM(D8:D11)</x:f>
        <x:v>240</x:v>
      </x:c>
      <x:c r="E13" s="66"/>
    </x:row>
    <x:row r="14" ht="42" customHeight="1">
      <x:c r="A14" s="57"/>
      <x:c r="B14" s="57"/>
      <x:c r="C14" s="57"/>
      <x:c r="D14" s="57"/>
      <x:c r="E14" s="57"/>
    </x:row>
    <x:row r="15" ht="42" customHeight="1">
      <x:c r="A15" s="57"/>
      <x:c r="B15" s="57"/>
      <x:c r="C15" s="57"/>
      <x:c r="D15" s="57"/>
      <x:c r="E15" s="57"/>
    </x:row>
    <x:row r="16" ht="38" customHeight="1">
      <x:c r="A16" s="66" t="str">
        <x:v>MATURE ANNUAL OPERATIONS</x:v>
      </x:c>
      <x:c r="B16" s="66" t="str">
        <x:v>Amount, $B</x:v>
      </x:c>
      <x:c r="C16" s="66" t="str">
        <x:v>Boundary / rationale</x:v>
      </x:c>
      <x:c r="D16" s="57"/>
      <x:c r="E16" s="57"/>
    </x:row>
    <x:row r="17" ht="42" customHeight="1">
      <x:c r="A17" s="57" t="str">
        <x:v>Property operations and long-term rental assistance</x:v>
      </x:c>
      <x:c r="B17" s="63" t="n">
        <x:v>16</x:v>
      </x:c>
      <x:c r="C17" s="57" t="str">
        <x:v>Net subsidy envelope, including 600k x $16k + 250k x $24k + $0.4B operating-risk reserve.</x:v>
      </x:c>
      <x:c r="D17" s="57"/>
      <x:c r="E17" s="57"/>
    </x:row>
    <x:row r="18" ht="42" customHeight="1">
      <x:c r="A18" s="57" t="str">
        <x:v>Case management, peers, and rehabilitation</x:v>
      </x:c>
      <x:c r="B18" s="63" t="n">
        <x:v>10</x:v>
      </x:c>
      <x:c r="C18" s="57" t="str">
        <x:v>Includes direct service staff, supervision, tenancy support and earned-savings costs.</x:v>
      </x:c>
      <x:c r="D18" s="57"/>
      <x:c r="E18" s="57"/>
    </x:row>
    <x:row r="19" ht="42" customHeight="1">
      <x:c r="A19" s="57" t="str">
        <x:v>Health, crisis care, substance-use treatment and respite</x:v>
      </x:c>
      <x:c r="B19" s="63" t="n">
        <x:v>8</x:v>
      </x:c>
      <x:c r="C19" s="57" t="str">
        <x:v>Only unreimbursed program costs; no duplicate billing of Medicaid or other insurance.</x:v>
      </x:c>
      <x:c r="D19" s="57"/>
      <x:c r="E19" s="57"/>
    </x:row>
    <x:row r="20" ht="42" customHeight="1">
      <x:c r="A20" s="57" t="str">
        <x:v>Bridge operations and street outreach</x:v>
      </x:c>
      <x:c r="B20" s="63" t="n">
        <x:v>7</x:v>
      </x:c>
      <x:c r="C20" s="57" t="str">
        <x:v>Illustratively $4B bridge housing and $3B outreach/navigation.</x:v>
      </x:c>
      <x:c r="D20" s="57"/>
      <x:c r="E20" s="57"/>
    </x:row>
    <x:row r="21" ht="42" customHeight="1">
      <x:c r="A21" s="57" t="str">
        <x:v>Community safety and de-escalation</x:v>
      </x:c>
      <x:c r="B21" s="63" t="n">
        <x:v>3</x:v>
      </x:c>
      <x:c r="C21" s="57" t="str">
        <x:v>Separate direct payroll and contracted coverage; not also charged to property operations.</x:v>
      </x:c>
      <x:c r="D21" s="57"/>
      <x:c r="E21" s="57"/>
    </x:row>
    <x:row r="22" ht="42" customHeight="1">
      <x:c r="A22" s="57" t="str">
        <x:v>Prevention, legal help, benefits and discharge planning</x:v>
      </x:c>
      <x:c r="B22" s="63" t="n">
        <x:v>7</x:v>
      </x:c>
      <x:c r="C22" s="57" t="str">
        <x:v>Illustrative service volume and assistance size require regional validation.</x:v>
      </x:c>
      <x:c r="D22" s="57"/>
      <x:c r="E22" s="57"/>
    </x:row>
    <x:row r="23" ht="42" customHeight="1">
      <x:c r="A23" s="57" t="str">
        <x:v>Employment, education, childcare, mobility and community</x:v>
      </x:c>
      <x:c r="B23" s="63" t="n">
        <x:v>6</x:v>
      </x:c>
      <x:c r="C23" s="57" t="str">
        <x:v>Support package for residents and transition households.</x:v>
      </x:c>
      <x:c r="D23" s="57"/>
      <x:c r="E23" s="57"/>
    </x:row>
    <x:row r="24" ht="42" customHeight="1">
      <x:c r="A24" s="57" t="str">
        <x:v>Administration, data, evaluation, workforce training and oversight</x:v>
      </x:c>
      <x:c r="B24" s="63" t="n">
        <x:v>3</x:v>
      </x:c>
      <x:c r="C24" s="57" t="str">
        <x:v>Agency and recipient administration; not double-counted direct property management.</x:v>
      </x:c>
      <x:c r="D24" s="57"/>
      <x:c r="E24" s="57"/>
    </x:row>
    <x:row r="25" ht="42" customHeight="1">
      <x:c r="A25" s="57"/>
      <x:c r="B25" s="63"/>
      <x:c r="C25" s="57"/>
      <x:c r="D25" s="57"/>
      <x:c r="E25" s="57"/>
    </x:row>
    <x:row r="26" ht="38" customHeight="1">
      <x:c r="A26" s="66" t="str">
        <x:v>TOTAL MATURE ANNUAL OPERATIONS</x:v>
      </x:c>
      <x:c r="B26" s="70" t="n">
        <x:f>SUM(B17:B24)</x:f>
        <x:v>60</x:v>
      </x:c>
      <x:c r="C26" s="66"/>
      <x:c r="D26" s="57"/>
      <x:c r="E26" s="57"/>
    </x:row>
    <x:row r="27" ht="42" customHeight="1">
      <x:c r="A27" s="57"/>
      <x:c r="B27" s="63"/>
      <x:c r="C27" s="57"/>
      <x:c r="D27" s="57"/>
      <x:c r="E27" s="57"/>
    </x:row>
    <x:row r="28" ht="42" customHeight="1">
      <x:c r="A28" s="57"/>
      <x:c r="B28" s="63"/>
      <x:c r="C28" s="57"/>
      <x:c r="D28" s="57"/>
      <x:c r="E28" s="57"/>
    </x:row>
    <x:row r="29" ht="42" customHeight="1">
      <x:c r="A29" s="57" t="str">
        <x:v>Annual major renewal from year 9</x:v>
      </x:c>
      <x:c r="B29" s="63" t="n">
        <x:v>5</x:v>
      </x:c>
      <x:c r="C29" s="57" t="str">
        <x:v>Separate from routine component reserves. Each eligible renewal cost must be paid only once.</x:v>
      </x:c>
      <x:c r="D29" s="57"/>
      <x:c r="E29" s="57"/>
    </x:row>
  </x:sheetData>
  <x:pageMargins left="0.7" right="0.7" top="0.75" bottom="0.75" header="0.3" footer="0.3"/>
</x:worksheet>
</file>